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75" windowWidth="15135" windowHeight="8070" tabRatio="922" activeTab="1"/>
  </bookViews>
  <sheets>
    <sheet name="0. Instructions" sheetId="24" r:id="rId1"/>
    <sheet name="1. Scenario overview" sheetId="16" r:id="rId2"/>
    <sheet name="2. As-Is Analysis (cost)" sheetId="12" r:id="rId3"/>
    <sheet name="3. As-Is Analysis (time)" sheetId="20" r:id="rId4"/>
    <sheet name="4. As-Is Analysis (activities)" sheetId="22" r:id="rId5"/>
    <sheet name="5. To-Be Analysis (cost)" sheetId="15" r:id="rId6"/>
    <sheet name="6. To-Be Analysis (time)" sheetId="21" r:id="rId7"/>
    <sheet name="7. To-Be Analysis (activities)" sheetId="23" r:id="rId8"/>
    <sheet name="8. To-Be Activity Costing" sheetId="14" r:id="rId9"/>
    <sheet name="9. UNICEF (as-is)" sheetId="6" r:id="rId10"/>
    <sheet name="10. FAO (as-is)" sheetId="8" r:id="rId11"/>
    <sheet name="11. WFP (as-is)" sheetId="10" r:id="rId12"/>
    <sheet name="12. UNDP (as-is)" sheetId="9" r:id="rId13"/>
    <sheet name="13. Pro-forma Costs" sheetId="7" r:id="rId14"/>
    <sheet name="14. Committees" sheetId="1" r:id="rId15"/>
  </sheets>
  <definedNames>
    <definedName name="_xlnm.Print_Area" localSheetId="8">'8. To-Be Activity Costing'!$F$2:$K$57</definedName>
    <definedName name="_xlnm.Print_Area" localSheetId="9">'9. UNICEF (as-is)'!$F$2:$J$68</definedName>
  </definedNames>
  <calcPr calcId="144525"/>
</workbook>
</file>

<file path=xl/calcChain.xml><?xml version="1.0" encoding="utf-8"?>
<calcChain xmlns="http://schemas.openxmlformats.org/spreadsheetml/2006/main">
  <c r="J19" i="16" l="1"/>
  <c r="I19" i="16"/>
  <c r="H19" i="16"/>
  <c r="J17" i="16"/>
  <c r="I17" i="16"/>
  <c r="H17" i="16"/>
  <c r="M14" i="16" l="1"/>
  <c r="N17" i="16"/>
  <c r="O17" i="16"/>
  <c r="M17" i="16"/>
  <c r="O11" i="16"/>
  <c r="N11" i="16"/>
  <c r="M11" i="16"/>
  <c r="F16" i="16" l="1"/>
  <c r="G16" i="16"/>
  <c r="E16" i="16"/>
  <c r="C13" i="21" l="1"/>
  <c r="D13" i="21"/>
  <c r="E13" i="21"/>
  <c r="F13" i="21"/>
  <c r="G13" i="21"/>
  <c r="H13" i="21"/>
  <c r="I13" i="21"/>
  <c r="J13" i="21"/>
  <c r="K13" i="21"/>
  <c r="L13" i="21"/>
  <c r="M13" i="21"/>
  <c r="N13" i="21"/>
  <c r="O13" i="21"/>
  <c r="P13" i="21"/>
  <c r="B13" i="21"/>
  <c r="P12" i="21"/>
  <c r="O12" i="21"/>
  <c r="N12" i="21"/>
  <c r="P11" i="21"/>
  <c r="O11" i="21"/>
  <c r="N11" i="21"/>
  <c r="P10" i="21"/>
  <c r="O10" i="21"/>
  <c r="N10" i="21"/>
  <c r="P9" i="21"/>
  <c r="O9" i="21"/>
  <c r="N9" i="21"/>
  <c r="P8" i="21"/>
  <c r="O8" i="21"/>
  <c r="N8" i="21"/>
  <c r="P7" i="21"/>
  <c r="O7" i="21"/>
  <c r="N7" i="21"/>
  <c r="P6" i="21"/>
  <c r="O6" i="21"/>
  <c r="N6" i="21"/>
  <c r="P5" i="21"/>
  <c r="O5" i="21"/>
  <c r="N5" i="21"/>
  <c r="P4" i="21"/>
  <c r="O4" i="21"/>
  <c r="N4" i="21"/>
  <c r="L6" i="21" l="1"/>
  <c r="M6" i="21"/>
  <c r="K6" i="21"/>
  <c r="I6" i="21"/>
  <c r="J6" i="21"/>
  <c r="H6" i="21"/>
  <c r="F6" i="21"/>
  <c r="G6" i="21"/>
  <c r="C6" i="21"/>
  <c r="D6" i="21"/>
  <c r="E6" i="21"/>
  <c r="B6" i="21"/>
  <c r="I8" i="21"/>
  <c r="J8" i="21"/>
  <c r="H7" i="21"/>
  <c r="M7" i="20"/>
  <c r="N7" i="20"/>
  <c r="L7" i="20"/>
  <c r="J7" i="20"/>
  <c r="K7" i="20"/>
  <c r="I7" i="20"/>
  <c r="G7" i="20"/>
  <c r="H7" i="20"/>
  <c r="F7" i="20"/>
  <c r="D7" i="20"/>
  <c r="P7" i="20" s="1"/>
  <c r="E7" i="20"/>
  <c r="C7" i="20"/>
  <c r="O7" i="20" s="1"/>
  <c r="L7" i="21"/>
  <c r="M7" i="21"/>
  <c r="K7" i="21"/>
  <c r="I7" i="21"/>
  <c r="J7" i="21"/>
  <c r="F7" i="21"/>
  <c r="G7" i="21"/>
  <c r="E7" i="21"/>
  <c r="C7" i="21"/>
  <c r="D7" i="21"/>
  <c r="B7" i="21"/>
  <c r="B5" i="21"/>
  <c r="L5" i="21"/>
  <c r="M5" i="21"/>
  <c r="K5" i="21"/>
  <c r="J5" i="21"/>
  <c r="E5" i="21"/>
  <c r="F5" i="21"/>
  <c r="D5" i="21"/>
  <c r="I5" i="21"/>
  <c r="H5" i="21"/>
  <c r="C5" i="21"/>
  <c r="G5" i="21"/>
  <c r="H8" i="21"/>
  <c r="L8" i="21"/>
  <c r="M8" i="21"/>
  <c r="K8" i="21"/>
  <c r="M13" i="20"/>
  <c r="P13" i="20" s="1"/>
  <c r="N13" i="20"/>
  <c r="Q13" i="20" s="1"/>
  <c r="L13" i="20"/>
  <c r="O13" i="20" s="1"/>
  <c r="C8" i="21"/>
  <c r="D8" i="21"/>
  <c r="B8" i="21"/>
  <c r="I9" i="21"/>
  <c r="J9" i="21"/>
  <c r="H9" i="21"/>
  <c r="L10" i="21"/>
  <c r="M10" i="21"/>
  <c r="K10" i="21"/>
  <c r="I10" i="21"/>
  <c r="J10" i="21"/>
  <c r="H10" i="21"/>
  <c r="F10" i="21"/>
  <c r="G10" i="21"/>
  <c r="E10" i="21"/>
  <c r="C10" i="21"/>
  <c r="D10" i="21"/>
  <c r="B10" i="21"/>
  <c r="L12" i="21"/>
  <c r="M12" i="21"/>
  <c r="K12" i="21"/>
  <c r="I12" i="21"/>
  <c r="J12" i="21"/>
  <c r="H12" i="21"/>
  <c r="F12" i="21"/>
  <c r="G12" i="21"/>
  <c r="E12" i="21"/>
  <c r="C12" i="21"/>
  <c r="D12" i="21"/>
  <c r="B12" i="21"/>
  <c r="L11" i="21"/>
  <c r="M11" i="21"/>
  <c r="K11" i="21"/>
  <c r="I11" i="21"/>
  <c r="J11" i="21"/>
  <c r="H11" i="21"/>
  <c r="F11" i="21"/>
  <c r="G11" i="21"/>
  <c r="E11" i="21"/>
  <c r="C11" i="21"/>
  <c r="D11" i="21"/>
  <c r="B11" i="21"/>
  <c r="L4" i="21"/>
  <c r="Q19" i="16" s="1"/>
  <c r="M4" i="21"/>
  <c r="R25" i="16" s="1"/>
  <c r="K4" i="21"/>
  <c r="P25" i="16" s="1"/>
  <c r="I4" i="21"/>
  <c r="Q18" i="16" s="1"/>
  <c r="J4" i="21"/>
  <c r="R24" i="16" s="1"/>
  <c r="H4" i="21"/>
  <c r="P24" i="16" s="1"/>
  <c r="F4" i="21"/>
  <c r="Q17" i="16" s="1"/>
  <c r="G4" i="21"/>
  <c r="R23" i="16" s="1"/>
  <c r="E4" i="21"/>
  <c r="P23" i="16" s="1"/>
  <c r="C4" i="21"/>
  <c r="Q4" i="16" s="1"/>
  <c r="D4" i="21"/>
  <c r="R22" i="16" s="1"/>
  <c r="B4" i="21"/>
  <c r="P22" i="16" s="1"/>
  <c r="M17" i="20"/>
  <c r="N17" i="20"/>
  <c r="L17" i="20"/>
  <c r="J17" i="20"/>
  <c r="K17" i="20"/>
  <c r="I17" i="20"/>
  <c r="G17" i="20"/>
  <c r="H17" i="20"/>
  <c r="F17" i="20"/>
  <c r="D17" i="20"/>
  <c r="P17" i="20" s="1"/>
  <c r="E17" i="20"/>
  <c r="Q17" i="20" s="1"/>
  <c r="C17" i="20"/>
  <c r="O17" i="20" s="1"/>
  <c r="M16" i="20"/>
  <c r="N16" i="20"/>
  <c r="L16" i="20"/>
  <c r="J16" i="20"/>
  <c r="K16" i="20"/>
  <c r="I16" i="20"/>
  <c r="G16" i="20"/>
  <c r="H16" i="20"/>
  <c r="F16" i="20"/>
  <c r="D16" i="20"/>
  <c r="P16" i="20" s="1"/>
  <c r="E16" i="20"/>
  <c r="Q16" i="20" s="1"/>
  <c r="C16" i="20"/>
  <c r="O16" i="20" s="1"/>
  <c r="M15" i="20"/>
  <c r="N15" i="20"/>
  <c r="L15" i="20"/>
  <c r="J15" i="20"/>
  <c r="K15" i="20"/>
  <c r="I15" i="20"/>
  <c r="G15" i="20"/>
  <c r="H15" i="20"/>
  <c r="F15" i="20"/>
  <c r="D15" i="20"/>
  <c r="P15" i="20" s="1"/>
  <c r="E15" i="20"/>
  <c r="Q15" i="20" s="1"/>
  <c r="C15" i="20"/>
  <c r="O15" i="20" s="1"/>
  <c r="M14" i="20"/>
  <c r="N14" i="20"/>
  <c r="L14" i="20"/>
  <c r="J14" i="20"/>
  <c r="K14" i="20"/>
  <c r="I14" i="20"/>
  <c r="G14" i="20"/>
  <c r="H14" i="20"/>
  <c r="F14" i="20"/>
  <c r="D14" i="20"/>
  <c r="P14" i="20" s="1"/>
  <c r="E14" i="20"/>
  <c r="Q14" i="20" s="1"/>
  <c r="C14" i="20"/>
  <c r="O14" i="20" s="1"/>
  <c r="J12" i="20"/>
  <c r="P12" i="20" s="1"/>
  <c r="K12" i="20"/>
  <c r="Q12" i="20" s="1"/>
  <c r="I12" i="20"/>
  <c r="O12" i="20" s="1"/>
  <c r="J11" i="20"/>
  <c r="P11" i="20" s="1"/>
  <c r="K11" i="20"/>
  <c r="Q11" i="20" s="1"/>
  <c r="I11" i="20"/>
  <c r="O11" i="20" s="1"/>
  <c r="D10" i="20"/>
  <c r="P10" i="20" s="1"/>
  <c r="E10" i="20"/>
  <c r="Q10" i="20" s="1"/>
  <c r="C10" i="20"/>
  <c r="O10" i="20" s="1"/>
  <c r="D9" i="20"/>
  <c r="P9" i="20" s="1"/>
  <c r="E9" i="20"/>
  <c r="Q9" i="20" s="1"/>
  <c r="C9" i="20"/>
  <c r="O9" i="20" s="1"/>
  <c r="M8" i="20"/>
  <c r="N8" i="20"/>
  <c r="L8" i="20"/>
  <c r="J8" i="20"/>
  <c r="K8" i="20"/>
  <c r="I8" i="20"/>
  <c r="G8" i="20"/>
  <c r="H8" i="20"/>
  <c r="F8" i="20"/>
  <c r="D8" i="20"/>
  <c r="P8" i="20" s="1"/>
  <c r="E8" i="20"/>
  <c r="Q8" i="20" s="1"/>
  <c r="C8" i="20"/>
  <c r="O8" i="20" s="1"/>
  <c r="M5" i="20"/>
  <c r="P5" i="20" s="1"/>
  <c r="N5" i="20"/>
  <c r="Q5" i="20" s="1"/>
  <c r="L5" i="20"/>
  <c r="O5" i="20" s="1"/>
  <c r="M6" i="20"/>
  <c r="N6" i="20"/>
  <c r="L6" i="20"/>
  <c r="J6" i="20"/>
  <c r="K6" i="20"/>
  <c r="I6" i="20"/>
  <c r="G6" i="20"/>
  <c r="H6" i="20"/>
  <c r="F6" i="20"/>
  <c r="D6" i="20"/>
  <c r="P6" i="20" s="1"/>
  <c r="E6" i="20"/>
  <c r="Q6" i="20" s="1"/>
  <c r="C6" i="20"/>
  <c r="O6" i="20" s="1"/>
  <c r="M4" i="20"/>
  <c r="N25" i="16" s="1"/>
  <c r="N4" i="20"/>
  <c r="O25" i="16" s="1"/>
  <c r="L4" i="20"/>
  <c r="M25" i="16" s="1"/>
  <c r="J4" i="20"/>
  <c r="N24" i="16" s="1"/>
  <c r="K4" i="20"/>
  <c r="O24" i="16" s="1"/>
  <c r="I4" i="20"/>
  <c r="M24" i="16" s="1"/>
  <c r="G4" i="20"/>
  <c r="N23" i="16" s="1"/>
  <c r="H4" i="20"/>
  <c r="O23" i="16" s="1"/>
  <c r="F4" i="20"/>
  <c r="M23" i="16" s="1"/>
  <c r="D4" i="20"/>
  <c r="E4" i="20"/>
  <c r="E18" i="20" s="1"/>
  <c r="C4" i="20"/>
  <c r="B84" i="10"/>
  <c r="F17" i="22" s="1"/>
  <c r="B80" i="10"/>
  <c r="F16" i="22" s="1"/>
  <c r="B72" i="10"/>
  <c r="B68" i="10"/>
  <c r="F15" i="22" s="1"/>
  <c r="B62" i="10"/>
  <c r="F14" i="22" s="1"/>
  <c r="B58" i="10"/>
  <c r="F13" i="22" s="1"/>
  <c r="B55" i="10"/>
  <c r="F8" i="22" s="1"/>
  <c r="B44" i="10"/>
  <c r="F7" i="22" s="1"/>
  <c r="B31" i="10"/>
  <c r="F6" i="22" s="1"/>
  <c r="B18" i="10"/>
  <c r="F5" i="22" s="1"/>
  <c r="B9" i="10"/>
  <c r="B4" i="10"/>
  <c r="F4" i="22" s="1"/>
  <c r="U25" i="16" s="1"/>
  <c r="B64" i="9"/>
  <c r="E17" i="22" s="1"/>
  <c r="B60" i="9"/>
  <c r="E16" i="22" s="1"/>
  <c r="B53" i="9"/>
  <c r="E15" i="22" s="1"/>
  <c r="B47" i="9"/>
  <c r="E14" i="22" s="1"/>
  <c r="B43" i="9"/>
  <c r="E12" i="22" s="1"/>
  <c r="B40" i="9"/>
  <c r="E11" i="22" s="1"/>
  <c r="B32" i="9"/>
  <c r="E8" i="22" s="1"/>
  <c r="B24" i="9"/>
  <c r="E7" i="22" s="1"/>
  <c r="B14" i="9"/>
  <c r="E6" i="22" s="1"/>
  <c r="B4" i="9"/>
  <c r="E4" i="22" s="1"/>
  <c r="U24" i="16" s="1"/>
  <c r="B53" i="8"/>
  <c r="D17" i="22" s="1"/>
  <c r="B49" i="8"/>
  <c r="D16" i="22" s="1"/>
  <c r="B43" i="8"/>
  <c r="D15" i="22" s="1"/>
  <c r="B37" i="8"/>
  <c r="D14" i="22" s="1"/>
  <c r="B33" i="8"/>
  <c r="D8" i="22" s="1"/>
  <c r="B25" i="8"/>
  <c r="D7" i="22" s="1"/>
  <c r="B15" i="8"/>
  <c r="D6" i="22" s="1"/>
  <c r="B5" i="8"/>
  <c r="D4" i="22" s="1"/>
  <c r="U23" i="16" s="1"/>
  <c r="B68" i="6"/>
  <c r="C17" i="22" s="1"/>
  <c r="B64" i="6"/>
  <c r="C16" i="22" s="1"/>
  <c r="B56" i="6"/>
  <c r="C15" i="22" s="1"/>
  <c r="B50" i="6"/>
  <c r="C14" i="22" s="1"/>
  <c r="B46" i="6"/>
  <c r="C10" i="22" s="1"/>
  <c r="B40" i="6"/>
  <c r="C9" i="22" s="1"/>
  <c r="B33" i="6"/>
  <c r="C8" i="22" s="1"/>
  <c r="B25" i="6"/>
  <c r="C7" i="22" s="1"/>
  <c r="B15" i="6"/>
  <c r="C6" i="22" s="1"/>
  <c r="B5" i="6"/>
  <c r="C4" i="22" s="1"/>
  <c r="B57" i="14"/>
  <c r="C12" i="23" s="1"/>
  <c r="B50" i="14"/>
  <c r="E11" i="23" s="1"/>
  <c r="B47" i="14"/>
  <c r="C10" i="23" s="1"/>
  <c r="B43" i="14"/>
  <c r="D9" i="23" s="1"/>
  <c r="B40" i="14"/>
  <c r="E8" i="23" s="1"/>
  <c r="B33" i="14"/>
  <c r="B7" i="23" s="1"/>
  <c r="B5" i="14"/>
  <c r="B4" i="23" s="1"/>
  <c r="B25" i="14"/>
  <c r="B6" i="23" s="1"/>
  <c r="B15" i="14"/>
  <c r="B5" i="23" s="1"/>
  <c r="Q7" i="20" l="1"/>
  <c r="M22" i="16"/>
  <c r="O4" i="20"/>
  <c r="O18" i="20" s="1"/>
  <c r="N22" i="16"/>
  <c r="P4" i="20"/>
  <c r="P18" i="20" s="1"/>
  <c r="C18" i="20"/>
  <c r="M18" i="20"/>
  <c r="K18" i="20"/>
  <c r="I18" i="20"/>
  <c r="G18" i="20"/>
  <c r="O4" i="16"/>
  <c r="Q4" i="20"/>
  <c r="M6" i="16"/>
  <c r="N6" i="16"/>
  <c r="N18" i="20"/>
  <c r="L18" i="20"/>
  <c r="J18" i="20"/>
  <c r="H18" i="20"/>
  <c r="F18" i="20"/>
  <c r="D18" i="20"/>
  <c r="U22" i="16"/>
  <c r="O6" i="16"/>
  <c r="B10" i="23"/>
  <c r="B12" i="23"/>
  <c r="C5" i="23"/>
  <c r="C7" i="23"/>
  <c r="C11" i="23"/>
  <c r="D4" i="23"/>
  <c r="D6" i="23"/>
  <c r="D8" i="23"/>
  <c r="D10" i="23"/>
  <c r="D12" i="23"/>
  <c r="E5" i="23"/>
  <c r="E7" i="23"/>
  <c r="E10" i="23"/>
  <c r="E12" i="23"/>
  <c r="M5" i="16"/>
  <c r="N5" i="16"/>
  <c r="B8" i="23"/>
  <c r="B11" i="23"/>
  <c r="V22" i="16" s="1"/>
  <c r="C4" i="23"/>
  <c r="V23" i="16" s="1"/>
  <c r="W23" i="16" s="1"/>
  <c r="C6" i="23"/>
  <c r="D5" i="23"/>
  <c r="D7" i="23"/>
  <c r="D11" i="23"/>
  <c r="E4" i="23"/>
  <c r="V25" i="16" s="1"/>
  <c r="W25" i="16" s="1"/>
  <c r="E6" i="23"/>
  <c r="O5" i="16"/>
  <c r="M4" i="16"/>
  <c r="N4" i="16"/>
  <c r="O7" i="16"/>
  <c r="M10" i="16"/>
  <c r="M12" i="16"/>
  <c r="O13" i="16"/>
  <c r="O14" i="16" s="1"/>
  <c r="O12" i="16"/>
  <c r="O10" i="16"/>
  <c r="M16" i="16"/>
  <c r="M18" i="16"/>
  <c r="O19" i="16"/>
  <c r="O18" i="16"/>
  <c r="O16" i="16"/>
  <c r="P4" i="16"/>
  <c r="P6" i="16"/>
  <c r="R7" i="16"/>
  <c r="R6" i="16"/>
  <c r="R5" i="16"/>
  <c r="R4" i="16"/>
  <c r="P10" i="16"/>
  <c r="P12" i="16"/>
  <c r="P16" i="16"/>
  <c r="Q13" i="16"/>
  <c r="Q12" i="16"/>
  <c r="Q11" i="16"/>
  <c r="Q10" i="16"/>
  <c r="Q16" i="16"/>
  <c r="R17" i="16"/>
  <c r="P18" i="16"/>
  <c r="R19" i="16"/>
  <c r="R18" i="16"/>
  <c r="Q25" i="16"/>
  <c r="Q24" i="16"/>
  <c r="S24" i="16" s="1"/>
  <c r="Q23" i="16"/>
  <c r="Q22" i="16"/>
  <c r="O22" i="16"/>
  <c r="O26" i="16" s="1"/>
  <c r="U5" i="16"/>
  <c r="U7" i="16"/>
  <c r="V5" i="16"/>
  <c r="V7" i="16"/>
  <c r="U11" i="16"/>
  <c r="U10" i="16"/>
  <c r="U13" i="16" s="1"/>
  <c r="V11" i="16"/>
  <c r="V13" i="16"/>
  <c r="U17" i="16"/>
  <c r="U19" i="16"/>
  <c r="V17" i="16"/>
  <c r="V19" i="16"/>
  <c r="M7" i="16"/>
  <c r="N7" i="16"/>
  <c r="S7" i="16" s="1"/>
  <c r="M13" i="16"/>
  <c r="N13" i="16"/>
  <c r="S13" i="16" s="1"/>
  <c r="N12" i="16"/>
  <c r="N10" i="16"/>
  <c r="M19" i="16"/>
  <c r="N19" i="16"/>
  <c r="N20" i="16" s="1"/>
  <c r="N18" i="16"/>
  <c r="N16" i="16"/>
  <c r="P5" i="16"/>
  <c r="P7" i="16"/>
  <c r="Q7" i="16"/>
  <c r="Q6" i="16"/>
  <c r="Q5" i="16"/>
  <c r="P11" i="16"/>
  <c r="P13" i="16"/>
  <c r="R13" i="16"/>
  <c r="R12" i="16"/>
  <c r="R11" i="16"/>
  <c r="R10" i="16"/>
  <c r="R16" i="16"/>
  <c r="R20" i="16" s="1"/>
  <c r="P17" i="16"/>
  <c r="P19" i="16"/>
  <c r="U6" i="16"/>
  <c r="V4" i="16"/>
  <c r="V8" i="16" s="1"/>
  <c r="V6" i="16"/>
  <c r="U12" i="16"/>
  <c r="V10" i="16"/>
  <c r="V12" i="16"/>
  <c r="V14" i="16" s="1"/>
  <c r="U4" i="16"/>
  <c r="U16" i="16"/>
  <c r="U18" i="16"/>
  <c r="V16" i="16"/>
  <c r="V20" i="16" s="1"/>
  <c r="V18" i="16"/>
  <c r="U26" i="16"/>
  <c r="W10" i="16"/>
  <c r="W4" i="16"/>
  <c r="W5" i="16"/>
  <c r="U14" i="16"/>
  <c r="S25" i="16"/>
  <c r="S23" i="16"/>
  <c r="R26" i="16"/>
  <c r="N26" i="16"/>
  <c r="M8" i="16"/>
  <c r="N8" i="16"/>
  <c r="M20" i="16"/>
  <c r="M26" i="16"/>
  <c r="P26" i="16"/>
  <c r="R8" i="16"/>
  <c r="P14" i="16"/>
  <c r="O8" i="16"/>
  <c r="N14" i="16"/>
  <c r="P8" i="16"/>
  <c r="O20" i="16"/>
  <c r="S6" i="16"/>
  <c r="S5" i="16"/>
  <c r="Q8" i="16"/>
  <c r="S12" i="16"/>
  <c r="S11" i="16"/>
  <c r="S10" i="16"/>
  <c r="S16" i="16"/>
  <c r="S17" i="16"/>
  <c r="S18" i="16"/>
  <c r="S4" i="16"/>
  <c r="Q20" i="16"/>
  <c r="P20" i="16"/>
  <c r="E70" i="7"/>
  <c r="F70" i="7" s="1"/>
  <c r="G70" i="7" s="1"/>
  <c r="H70" i="7" s="1"/>
  <c r="I70" i="7" s="1"/>
  <c r="E71" i="7"/>
  <c r="F71" i="7"/>
  <c r="G71" i="7" s="1"/>
  <c r="H71" i="7" s="1"/>
  <c r="I71" i="7" s="1"/>
  <c r="E72" i="7"/>
  <c r="F72" i="7" s="1"/>
  <c r="G72" i="7" s="1"/>
  <c r="H72" i="7" s="1"/>
  <c r="I72" i="7" s="1"/>
  <c r="E73" i="7"/>
  <c r="F73" i="7" s="1"/>
  <c r="G73" i="7" s="1"/>
  <c r="H73" i="7" s="1"/>
  <c r="I73" i="7" s="1"/>
  <c r="E74" i="7"/>
  <c r="F74" i="7"/>
  <c r="G74" i="7" s="1"/>
  <c r="H74" i="7" s="1"/>
  <c r="I74" i="7" s="1"/>
  <c r="E75" i="7"/>
  <c r="F75" i="7" s="1"/>
  <c r="G75" i="7" s="1"/>
  <c r="H75" i="7" s="1"/>
  <c r="I75" i="7" s="1"/>
  <c r="E76" i="7"/>
  <c r="F76" i="7" s="1"/>
  <c r="G76" i="7" s="1"/>
  <c r="H76" i="7" s="1"/>
  <c r="I76" i="7" s="1"/>
  <c r="E69" i="7"/>
  <c r="F69" i="7" s="1"/>
  <c r="G69" i="7" s="1"/>
  <c r="H69" i="7" s="1"/>
  <c r="I69" i="7" s="1"/>
  <c r="E44" i="7"/>
  <c r="E45" i="7"/>
  <c r="E46" i="7"/>
  <c r="E47" i="7"/>
  <c r="E48" i="7"/>
  <c r="E49" i="7"/>
  <c r="E50" i="7"/>
  <c r="E43" i="7"/>
  <c r="E17" i="7"/>
  <c r="E18" i="7"/>
  <c r="F18" i="7" s="1"/>
  <c r="G18" i="7" s="1"/>
  <c r="H18" i="7" s="1"/>
  <c r="I18" i="7" s="1"/>
  <c r="E19" i="7"/>
  <c r="E20" i="7"/>
  <c r="F20" i="7" s="1"/>
  <c r="G20" i="7" s="1"/>
  <c r="H20" i="7" s="1"/>
  <c r="I20" i="7" s="1"/>
  <c r="E21" i="7"/>
  <c r="E22" i="7"/>
  <c r="F22" i="7" s="1"/>
  <c r="G22" i="7" s="1"/>
  <c r="H22" i="7" s="1"/>
  <c r="I22" i="7" s="1"/>
  <c r="E23" i="7"/>
  <c r="E24" i="7"/>
  <c r="F24" i="7" s="1"/>
  <c r="G24" i="7" s="1"/>
  <c r="H24" i="7" s="1"/>
  <c r="I24" i="7" s="1"/>
  <c r="E25" i="7"/>
  <c r="E26" i="7"/>
  <c r="F26" i="7" s="1"/>
  <c r="G26" i="7" s="1"/>
  <c r="H26" i="7" s="1"/>
  <c r="I26" i="7" s="1"/>
  <c r="E27" i="7"/>
  <c r="E28" i="7"/>
  <c r="F28" i="7" s="1"/>
  <c r="G28" i="7" s="1"/>
  <c r="H28" i="7" s="1"/>
  <c r="I28" i="7" s="1"/>
  <c r="E29" i="7"/>
  <c r="E30" i="7"/>
  <c r="F30" i="7" s="1"/>
  <c r="G30" i="7" s="1"/>
  <c r="H30" i="7" s="1"/>
  <c r="I30" i="7" s="1"/>
  <c r="E31" i="7"/>
  <c r="E32" i="7"/>
  <c r="F32" i="7" s="1"/>
  <c r="G32" i="7" s="1"/>
  <c r="H32" i="7" s="1"/>
  <c r="I32" i="7" s="1"/>
  <c r="E33" i="7"/>
  <c r="E34" i="7"/>
  <c r="F34" i="7" s="1"/>
  <c r="G34" i="7" s="1"/>
  <c r="H34" i="7" s="1"/>
  <c r="I34" i="7" s="1"/>
  <c r="E35" i="7"/>
  <c r="E36" i="7"/>
  <c r="F36" i="7" s="1"/>
  <c r="G36" i="7" s="1"/>
  <c r="H36" i="7" s="1"/>
  <c r="I36" i="7" s="1"/>
  <c r="E37" i="7"/>
  <c r="E38" i="7"/>
  <c r="F38" i="7" s="1"/>
  <c r="G38" i="7" s="1"/>
  <c r="H38" i="7" s="1"/>
  <c r="I38" i="7" s="1"/>
  <c r="E39" i="7"/>
  <c r="E40" i="7"/>
  <c r="F40" i="7" s="1"/>
  <c r="G40" i="7" s="1"/>
  <c r="H40" i="7" s="1"/>
  <c r="I40" i="7" s="1"/>
  <c r="E41" i="7"/>
  <c r="E42" i="7"/>
  <c r="F42" i="7" s="1"/>
  <c r="G42" i="7" s="1"/>
  <c r="H42" i="7" s="1"/>
  <c r="I42" i="7" s="1"/>
  <c r="E16" i="7"/>
  <c r="E8" i="7"/>
  <c r="F8" i="7" s="1"/>
  <c r="G8" i="7" s="1"/>
  <c r="H8" i="7" s="1"/>
  <c r="I8" i="7" s="1"/>
  <c r="E9" i="7"/>
  <c r="E10" i="7"/>
  <c r="F10" i="7" s="1"/>
  <c r="G10" i="7" s="1"/>
  <c r="H10" i="7" s="1"/>
  <c r="I10" i="7" s="1"/>
  <c r="E11" i="7"/>
  <c r="E12" i="7"/>
  <c r="F12" i="7" s="1"/>
  <c r="G12" i="7" s="1"/>
  <c r="H12" i="7" s="1"/>
  <c r="I12" i="7" s="1"/>
  <c r="E13" i="7"/>
  <c r="E14" i="7"/>
  <c r="F14" i="7" s="1"/>
  <c r="G14" i="7" s="1"/>
  <c r="H14" i="7" s="1"/>
  <c r="I14" i="7" s="1"/>
  <c r="E15" i="7"/>
  <c r="E7" i="7"/>
  <c r="F7" i="7" s="1"/>
  <c r="G7" i="7" s="1"/>
  <c r="H7" i="7" s="1"/>
  <c r="I7" i="7" s="1"/>
  <c r="E5" i="7"/>
  <c r="E6" i="7"/>
  <c r="F6" i="7" s="1"/>
  <c r="G6" i="7" s="1"/>
  <c r="H6" i="7" s="1"/>
  <c r="I6" i="7" s="1"/>
  <c r="E4" i="7"/>
  <c r="E3" i="7"/>
  <c r="F3" i="7" s="1"/>
  <c r="G3" i="7" s="1"/>
  <c r="H3" i="7" s="1"/>
  <c r="I3" i="7" s="1"/>
  <c r="J4" i="6" s="1"/>
  <c r="E2" i="7"/>
  <c r="F4" i="7"/>
  <c r="G4" i="7" s="1"/>
  <c r="H4" i="7" s="1"/>
  <c r="I4" i="7" s="1"/>
  <c r="F5" i="7"/>
  <c r="G5" i="7" s="1"/>
  <c r="H5" i="7" s="1"/>
  <c r="I5" i="7" s="1"/>
  <c r="F9" i="7"/>
  <c r="G9" i="7" s="1"/>
  <c r="H9" i="7" s="1"/>
  <c r="I9" i="7" s="1"/>
  <c r="F11" i="7"/>
  <c r="G11" i="7" s="1"/>
  <c r="H11" i="7" s="1"/>
  <c r="I11" i="7" s="1"/>
  <c r="F13" i="7"/>
  <c r="G13" i="7" s="1"/>
  <c r="H13" i="7" s="1"/>
  <c r="I13" i="7" s="1"/>
  <c r="F15" i="7"/>
  <c r="G15" i="7" s="1"/>
  <c r="H15" i="7" s="1"/>
  <c r="I15" i="7" s="1"/>
  <c r="F16" i="7"/>
  <c r="G16" i="7" s="1"/>
  <c r="H16" i="7" s="1"/>
  <c r="I16" i="7" s="1"/>
  <c r="F17" i="7"/>
  <c r="G17" i="7" s="1"/>
  <c r="H17" i="7" s="1"/>
  <c r="I17" i="7" s="1"/>
  <c r="F19" i="7"/>
  <c r="G19" i="7" s="1"/>
  <c r="H19" i="7" s="1"/>
  <c r="I19" i="7" s="1"/>
  <c r="F21" i="7"/>
  <c r="G21" i="7" s="1"/>
  <c r="H21" i="7" s="1"/>
  <c r="I21" i="7" s="1"/>
  <c r="I38" i="9" s="1"/>
  <c r="F23" i="7"/>
  <c r="G23" i="7" s="1"/>
  <c r="H23" i="7" s="1"/>
  <c r="I23" i="7" s="1"/>
  <c r="F25" i="7"/>
  <c r="G25" i="7" s="1"/>
  <c r="H25" i="7" s="1"/>
  <c r="I25" i="7" s="1"/>
  <c r="F27" i="7"/>
  <c r="G27" i="7" s="1"/>
  <c r="H27" i="7" s="1"/>
  <c r="I27" i="7" s="1"/>
  <c r="F29" i="7"/>
  <c r="G29" i="7" s="1"/>
  <c r="H29" i="7" s="1"/>
  <c r="I29" i="7" s="1"/>
  <c r="F31" i="7"/>
  <c r="G31" i="7" s="1"/>
  <c r="H31" i="7" s="1"/>
  <c r="I31" i="7" s="1"/>
  <c r="F33" i="7"/>
  <c r="G33" i="7" s="1"/>
  <c r="H33" i="7" s="1"/>
  <c r="I33" i="7" s="1"/>
  <c r="F35" i="7"/>
  <c r="G35" i="7" s="1"/>
  <c r="H35" i="7" s="1"/>
  <c r="I35" i="7" s="1"/>
  <c r="F37" i="7"/>
  <c r="G37" i="7" s="1"/>
  <c r="H37" i="7" s="1"/>
  <c r="I37" i="7" s="1"/>
  <c r="F39" i="7"/>
  <c r="G39" i="7" s="1"/>
  <c r="H39" i="7" s="1"/>
  <c r="I39" i="7" s="1"/>
  <c r="F41" i="7"/>
  <c r="G41" i="7" s="1"/>
  <c r="H41" i="7" s="1"/>
  <c r="I41" i="7" s="1"/>
  <c r="F43" i="7"/>
  <c r="G43" i="7" s="1"/>
  <c r="H43" i="7" s="1"/>
  <c r="I43" i="7" s="1"/>
  <c r="F44" i="7"/>
  <c r="G44" i="7" s="1"/>
  <c r="H44" i="7" s="1"/>
  <c r="I44" i="7" s="1"/>
  <c r="F45" i="7"/>
  <c r="G45" i="7" s="1"/>
  <c r="H45" i="7" s="1"/>
  <c r="I45" i="7" s="1"/>
  <c r="F46" i="7"/>
  <c r="G46" i="7" s="1"/>
  <c r="H46" i="7" s="1"/>
  <c r="I46" i="7" s="1"/>
  <c r="F47" i="7"/>
  <c r="G47" i="7" s="1"/>
  <c r="H47" i="7" s="1"/>
  <c r="I47" i="7" s="1"/>
  <c r="F48" i="7"/>
  <c r="G48" i="7" s="1"/>
  <c r="H48" i="7" s="1"/>
  <c r="I48" i="7" s="1"/>
  <c r="F49" i="7"/>
  <c r="G49" i="7" s="1"/>
  <c r="H49" i="7" s="1"/>
  <c r="I49" i="7" s="1"/>
  <c r="F50" i="7"/>
  <c r="G50" i="7" s="1"/>
  <c r="H50" i="7" s="1"/>
  <c r="I50" i="7" s="1"/>
  <c r="S8" i="16" l="1"/>
  <c r="S19" i="16"/>
  <c r="Q18" i="20"/>
  <c r="W16" i="16"/>
  <c r="W22" i="16"/>
  <c r="I53" i="6"/>
  <c r="H53" i="6"/>
  <c r="J53" i="6"/>
  <c r="T32" i="14"/>
  <c r="U30" i="14"/>
  <c r="S30" i="14"/>
  <c r="T24" i="14"/>
  <c r="U22" i="14"/>
  <c r="S22" i="14"/>
  <c r="T21" i="14"/>
  <c r="U20" i="14"/>
  <c r="S20" i="14"/>
  <c r="T12" i="14"/>
  <c r="T11" i="14"/>
  <c r="S11" i="14"/>
  <c r="T31" i="14"/>
  <c r="U23" i="14"/>
  <c r="S23" i="14"/>
  <c r="T13" i="14"/>
  <c r="U7" i="14"/>
  <c r="S7" i="14"/>
  <c r="T10" i="14"/>
  <c r="U9" i="14"/>
  <c r="S9" i="14"/>
  <c r="T8" i="14"/>
  <c r="U19" i="14"/>
  <c r="S19" i="14"/>
  <c r="T18" i="14"/>
  <c r="U17" i="14"/>
  <c r="S17" i="14"/>
  <c r="T29" i="14"/>
  <c r="U28" i="14"/>
  <c r="S28" i="14"/>
  <c r="T27" i="14"/>
  <c r="T14" i="14"/>
  <c r="U32" i="14"/>
  <c r="S32" i="14"/>
  <c r="T30" i="14"/>
  <c r="U24" i="14"/>
  <c r="S24" i="14"/>
  <c r="T22" i="14"/>
  <c r="U21" i="14"/>
  <c r="S21" i="14"/>
  <c r="T20" i="14"/>
  <c r="U12" i="14"/>
  <c r="S12" i="14"/>
  <c r="U11" i="14"/>
  <c r="U31" i="14"/>
  <c r="S31" i="14"/>
  <c r="T23" i="14"/>
  <c r="U13" i="14"/>
  <c r="S13" i="14"/>
  <c r="T7" i="14"/>
  <c r="U10" i="14"/>
  <c r="S10" i="14"/>
  <c r="T9" i="14"/>
  <c r="U8" i="14"/>
  <c r="S8" i="14"/>
  <c r="T19" i="14"/>
  <c r="U18" i="14"/>
  <c r="S18" i="14"/>
  <c r="T17" i="14"/>
  <c r="U29" i="14"/>
  <c r="S29" i="14"/>
  <c r="T28" i="14"/>
  <c r="U27" i="14"/>
  <c r="S27" i="14"/>
  <c r="U14" i="14"/>
  <c r="S14" i="14"/>
  <c r="R14" i="16"/>
  <c r="V24" i="16"/>
  <c r="W24" i="16" s="1"/>
  <c r="T39" i="14"/>
  <c r="S39" i="14"/>
  <c r="U39" i="14"/>
  <c r="S20" i="16"/>
  <c r="I29" i="9"/>
  <c r="H29" i="9"/>
  <c r="J29" i="9"/>
  <c r="S22" i="16"/>
  <c r="Q26" i="16"/>
  <c r="S26" i="16" s="1"/>
  <c r="J37" i="9"/>
  <c r="W18" i="16"/>
  <c r="W6" i="16"/>
  <c r="W17" i="16"/>
  <c r="W11" i="16"/>
  <c r="U8" i="16"/>
  <c r="W8" i="16" s="1"/>
  <c r="U20" i="16"/>
  <c r="W20" i="16" s="1"/>
  <c r="W12" i="16"/>
  <c r="W19" i="16"/>
  <c r="W13" i="16"/>
  <c r="W7" i="16"/>
  <c r="Q14" i="16"/>
  <c r="S14" i="16" s="1"/>
  <c r="W14" i="16"/>
  <c r="Z39" i="14"/>
  <c r="Y24" i="14"/>
  <c r="Z32" i="14"/>
  <c r="X32" i="14"/>
  <c r="Y30" i="14"/>
  <c r="Z22" i="14"/>
  <c r="X22" i="14"/>
  <c r="Y21" i="14"/>
  <c r="Z20" i="14"/>
  <c r="X20" i="14"/>
  <c r="Z14" i="14"/>
  <c r="Y11" i="14"/>
  <c r="Y12" i="14"/>
  <c r="X12" i="14"/>
  <c r="H49" i="10"/>
  <c r="J57" i="10"/>
  <c r="J58" i="10" s="1"/>
  <c r="N13" i="12" s="1"/>
  <c r="Q13" i="12" s="1"/>
  <c r="H57" i="10"/>
  <c r="H58" i="10" s="1"/>
  <c r="L13" i="12" s="1"/>
  <c r="O13" i="12" s="1"/>
  <c r="I49" i="10"/>
  <c r="I38" i="10"/>
  <c r="J37" i="10"/>
  <c r="H37" i="10"/>
  <c r="I36" i="10"/>
  <c r="I24" i="10"/>
  <c r="I25" i="10"/>
  <c r="H25" i="10"/>
  <c r="J6" i="10"/>
  <c r="H6" i="10"/>
  <c r="I16" i="10"/>
  <c r="J29" i="10"/>
  <c r="H29" i="10"/>
  <c r="I42" i="10"/>
  <c r="J53" i="10"/>
  <c r="H53" i="10"/>
  <c r="J71" i="10"/>
  <c r="Y39" i="14"/>
  <c r="X39" i="14"/>
  <c r="Z24" i="14"/>
  <c r="X24" i="14"/>
  <c r="Y32" i="14"/>
  <c r="Z30" i="14"/>
  <c r="X30" i="14"/>
  <c r="Y22" i="14"/>
  <c r="Z21" i="14"/>
  <c r="X21" i="14"/>
  <c r="Y20" i="14"/>
  <c r="Y14" i="14"/>
  <c r="X14" i="14"/>
  <c r="Z11" i="14"/>
  <c r="Z12" i="14"/>
  <c r="X11" i="14"/>
  <c r="I57" i="10"/>
  <c r="I58" i="10" s="1"/>
  <c r="M13" i="12" s="1"/>
  <c r="P13" i="12" s="1"/>
  <c r="J49" i="10"/>
  <c r="J38" i="10"/>
  <c r="H38" i="10"/>
  <c r="I37" i="10"/>
  <c r="J36" i="10"/>
  <c r="H36" i="10"/>
  <c r="J24" i="10"/>
  <c r="J25" i="10"/>
  <c r="H24" i="10"/>
  <c r="I6" i="10"/>
  <c r="J16" i="10"/>
  <c r="H16" i="10"/>
  <c r="I29" i="10"/>
  <c r="J42" i="10"/>
  <c r="H42" i="10"/>
  <c r="I53" i="10"/>
  <c r="I71" i="10"/>
  <c r="H71" i="10"/>
  <c r="J31" i="14"/>
  <c r="J33" i="10"/>
  <c r="J34" i="10"/>
  <c r="J35" i="10"/>
  <c r="H34" i="10"/>
  <c r="Y46" i="14"/>
  <c r="Z45" i="14"/>
  <c r="X45" i="14"/>
  <c r="Y56" i="14"/>
  <c r="Z55" i="14"/>
  <c r="X55" i="14"/>
  <c r="Y54" i="14"/>
  <c r="Z53" i="14"/>
  <c r="X53" i="14"/>
  <c r="Y52" i="14"/>
  <c r="Z31" i="14"/>
  <c r="X31" i="14"/>
  <c r="Y29" i="14"/>
  <c r="Z28" i="14"/>
  <c r="X28" i="14"/>
  <c r="Y27" i="14"/>
  <c r="Z23" i="14"/>
  <c r="X23" i="14"/>
  <c r="Y19" i="14"/>
  <c r="Z18" i="14"/>
  <c r="X18" i="14"/>
  <c r="Y17" i="14"/>
  <c r="Z13" i="14"/>
  <c r="X13" i="14"/>
  <c r="Y10" i="14"/>
  <c r="Z9" i="14"/>
  <c r="X9" i="14"/>
  <c r="Y8" i="14"/>
  <c r="Z7" i="14"/>
  <c r="X7" i="14"/>
  <c r="Z4" i="14"/>
  <c r="Z5" i="14" s="1"/>
  <c r="M4" i="15" s="1"/>
  <c r="I74" i="10"/>
  <c r="I75" i="10"/>
  <c r="I76" i="10"/>
  <c r="I77" i="10"/>
  <c r="I78" i="10"/>
  <c r="I79" i="10"/>
  <c r="I82" i="10"/>
  <c r="I83" i="10"/>
  <c r="H83" i="10"/>
  <c r="H79" i="10"/>
  <c r="H77" i="10"/>
  <c r="H75" i="10"/>
  <c r="J70" i="10"/>
  <c r="J72" i="10" s="1"/>
  <c r="H70" i="10"/>
  <c r="H72" i="10" s="1"/>
  <c r="I61" i="10"/>
  <c r="J60" i="10"/>
  <c r="H60" i="10"/>
  <c r="I52" i="10"/>
  <c r="J51" i="10"/>
  <c r="H51" i="10"/>
  <c r="I50" i="10"/>
  <c r="J48" i="10"/>
  <c r="H48" i="10"/>
  <c r="I47" i="10"/>
  <c r="J46" i="10"/>
  <c r="H46" i="10"/>
  <c r="I41" i="10"/>
  <c r="J40" i="10"/>
  <c r="H40" i="10"/>
  <c r="I39" i="10"/>
  <c r="J28" i="10"/>
  <c r="H28" i="10"/>
  <c r="I27" i="10"/>
  <c r="J26" i="10"/>
  <c r="H26" i="10"/>
  <c r="I23" i="10"/>
  <c r="J22" i="10"/>
  <c r="H22" i="10"/>
  <c r="I21" i="10"/>
  <c r="J20" i="10"/>
  <c r="H20" i="10"/>
  <c r="I15" i="10"/>
  <c r="J14" i="10"/>
  <c r="H14" i="10"/>
  <c r="I13" i="10"/>
  <c r="J12" i="10"/>
  <c r="H12" i="10"/>
  <c r="I11" i="10"/>
  <c r="J8" i="10"/>
  <c r="H8" i="10"/>
  <c r="I7" i="10"/>
  <c r="I3" i="10"/>
  <c r="I4" i="10" s="1"/>
  <c r="M4" i="12" s="1"/>
  <c r="H3" i="10"/>
  <c r="H4" i="10" s="1"/>
  <c r="L4" i="12" s="1"/>
  <c r="I33" i="10"/>
  <c r="I34" i="10"/>
  <c r="I35" i="10"/>
  <c r="H33" i="10"/>
  <c r="H35" i="10"/>
  <c r="Z46" i="14"/>
  <c r="X46" i="14"/>
  <c r="Y45" i="14"/>
  <c r="Y47" i="14" s="1"/>
  <c r="L10" i="15" s="1"/>
  <c r="Z56" i="14"/>
  <c r="X56" i="14"/>
  <c r="Y55" i="14"/>
  <c r="Z54" i="14"/>
  <c r="X54" i="14"/>
  <c r="Y53" i="14"/>
  <c r="Z52" i="14"/>
  <c r="X52" i="14"/>
  <c r="Y31" i="14"/>
  <c r="Z29" i="14"/>
  <c r="X29" i="14"/>
  <c r="Y28" i="14"/>
  <c r="Z27" i="14"/>
  <c r="Z33" i="14" s="1"/>
  <c r="M7" i="15" s="1"/>
  <c r="X27" i="14"/>
  <c r="Y23" i="14"/>
  <c r="Z19" i="14"/>
  <c r="X19" i="14"/>
  <c r="Y18" i="14"/>
  <c r="Z17" i="14"/>
  <c r="Z25" i="14" s="1"/>
  <c r="M6" i="15" s="1"/>
  <c r="X17" i="14"/>
  <c r="Y13" i="14"/>
  <c r="Z10" i="14"/>
  <c r="X10" i="14"/>
  <c r="Y9" i="14"/>
  <c r="Z8" i="14"/>
  <c r="X8" i="14"/>
  <c r="Y7" i="14"/>
  <c r="Y15" i="14" s="1"/>
  <c r="L5" i="15" s="1"/>
  <c r="Y4" i="14"/>
  <c r="Y5" i="14" s="1"/>
  <c r="L4" i="15" s="1"/>
  <c r="X4" i="14"/>
  <c r="X5" i="14" s="1"/>
  <c r="K4" i="15" s="1"/>
  <c r="J74" i="10"/>
  <c r="J75" i="10"/>
  <c r="J76" i="10"/>
  <c r="J77" i="10"/>
  <c r="J78" i="10"/>
  <c r="J79" i="10"/>
  <c r="J82" i="10"/>
  <c r="J83" i="10"/>
  <c r="H82" i="10"/>
  <c r="H84" i="10" s="1"/>
  <c r="L17" i="12" s="1"/>
  <c r="H78" i="10"/>
  <c r="H76" i="10"/>
  <c r="H74" i="10"/>
  <c r="I70" i="10"/>
  <c r="I72" i="10" s="1"/>
  <c r="J61" i="10"/>
  <c r="H61" i="10"/>
  <c r="I60" i="10"/>
  <c r="I62" i="10" s="1"/>
  <c r="M14" i="12" s="1"/>
  <c r="J52" i="10"/>
  <c r="H52" i="10"/>
  <c r="I51" i="10"/>
  <c r="J50" i="10"/>
  <c r="H50" i="10"/>
  <c r="I48" i="10"/>
  <c r="J47" i="10"/>
  <c r="H47" i="10"/>
  <c r="I46" i="10"/>
  <c r="J41" i="10"/>
  <c r="H41" i="10"/>
  <c r="I40" i="10"/>
  <c r="J39" i="10"/>
  <c r="H39" i="10"/>
  <c r="I28" i="10"/>
  <c r="J27" i="10"/>
  <c r="H27" i="10"/>
  <c r="I26" i="10"/>
  <c r="J23" i="10"/>
  <c r="H23" i="10"/>
  <c r="I22" i="10"/>
  <c r="J21" i="10"/>
  <c r="H21" i="10"/>
  <c r="I20" i="10"/>
  <c r="J15" i="10"/>
  <c r="H15" i="10"/>
  <c r="I14" i="10"/>
  <c r="J13" i="10"/>
  <c r="H13" i="10"/>
  <c r="I12" i="10"/>
  <c r="J11" i="10"/>
  <c r="H11" i="10"/>
  <c r="I8" i="10"/>
  <c r="J7" i="10"/>
  <c r="H7" i="10"/>
  <c r="J3" i="10"/>
  <c r="J4" i="10" s="1"/>
  <c r="N4" i="12" s="1"/>
  <c r="J67" i="10"/>
  <c r="H67" i="10"/>
  <c r="I66" i="10"/>
  <c r="J65" i="10"/>
  <c r="H65" i="10"/>
  <c r="I64" i="10"/>
  <c r="I67" i="10"/>
  <c r="J66" i="10"/>
  <c r="H66" i="10"/>
  <c r="I65" i="10"/>
  <c r="J64" i="10"/>
  <c r="H64" i="10"/>
  <c r="I53" i="14"/>
  <c r="Z49" i="14"/>
  <c r="Z50" i="14" s="1"/>
  <c r="M11" i="15" s="1"/>
  <c r="X49" i="14"/>
  <c r="X50" i="14" s="1"/>
  <c r="K11" i="15" s="1"/>
  <c r="Y36" i="14"/>
  <c r="X37" i="14"/>
  <c r="Z37" i="14"/>
  <c r="Y38" i="14"/>
  <c r="Y35" i="14"/>
  <c r="X35" i="14"/>
  <c r="T42" i="14"/>
  <c r="T43" i="14" s="1"/>
  <c r="I9" i="15" s="1"/>
  <c r="O9" i="15" s="1"/>
  <c r="U56" i="14"/>
  <c r="S56" i="14"/>
  <c r="T55" i="14"/>
  <c r="U54" i="14"/>
  <c r="S54" i="14"/>
  <c r="T53" i="14"/>
  <c r="U52" i="14"/>
  <c r="S52" i="14"/>
  <c r="T49" i="14"/>
  <c r="U46" i="14"/>
  <c r="S46" i="14"/>
  <c r="T45" i="14"/>
  <c r="U4" i="14"/>
  <c r="U5" i="14" s="1"/>
  <c r="J4" i="15" s="1"/>
  <c r="I41" i="8"/>
  <c r="H42" i="8"/>
  <c r="J42" i="8"/>
  <c r="Y49" i="14"/>
  <c r="Y50" i="14" s="1"/>
  <c r="L11" i="15" s="1"/>
  <c r="X36" i="14"/>
  <c r="Z36" i="14"/>
  <c r="Y37" i="14"/>
  <c r="X38" i="14"/>
  <c r="Z38" i="14"/>
  <c r="Z35" i="14"/>
  <c r="U42" i="14"/>
  <c r="U43" i="14" s="1"/>
  <c r="J9" i="15" s="1"/>
  <c r="P9" i="15" s="1"/>
  <c r="S42" i="14"/>
  <c r="S43" i="14" s="1"/>
  <c r="H9" i="15" s="1"/>
  <c r="N9" i="15" s="1"/>
  <c r="T56" i="14"/>
  <c r="U55" i="14"/>
  <c r="S55" i="14"/>
  <c r="T54" i="14"/>
  <c r="U53" i="14"/>
  <c r="S53" i="14"/>
  <c r="T52" i="14"/>
  <c r="U49" i="14"/>
  <c r="S49" i="14"/>
  <c r="S50" i="14" s="1"/>
  <c r="H11" i="15" s="1"/>
  <c r="T46" i="14"/>
  <c r="U45" i="14"/>
  <c r="S45" i="14"/>
  <c r="S47" i="14" s="1"/>
  <c r="H10" i="15" s="1"/>
  <c r="T4" i="14"/>
  <c r="T5" i="14" s="1"/>
  <c r="I4" i="15" s="1"/>
  <c r="S4" i="14"/>
  <c r="S5" i="14" s="1"/>
  <c r="H4" i="15" s="1"/>
  <c r="H41" i="8"/>
  <c r="J41" i="8"/>
  <c r="I42" i="8"/>
  <c r="T36" i="14"/>
  <c r="S37" i="14"/>
  <c r="U37" i="14"/>
  <c r="T38" i="14"/>
  <c r="T35" i="14"/>
  <c r="S35" i="14"/>
  <c r="S36" i="14"/>
  <c r="U36" i="14"/>
  <c r="T37" i="14"/>
  <c r="S38" i="14"/>
  <c r="U38" i="14"/>
  <c r="U35" i="14"/>
  <c r="J4" i="8"/>
  <c r="H4" i="8"/>
  <c r="I7" i="8"/>
  <c r="H8" i="8"/>
  <c r="J8" i="8"/>
  <c r="I9" i="8"/>
  <c r="H10" i="8"/>
  <c r="J10" i="8"/>
  <c r="I17" i="8"/>
  <c r="H18" i="8"/>
  <c r="J18" i="8"/>
  <c r="I19" i="8"/>
  <c r="H13" i="8"/>
  <c r="J13" i="8"/>
  <c r="I27" i="8"/>
  <c r="H28" i="8"/>
  <c r="J28" i="8"/>
  <c r="I29" i="8"/>
  <c r="H35" i="8"/>
  <c r="J35" i="8"/>
  <c r="I36" i="8"/>
  <c r="H39" i="8"/>
  <c r="J39" i="8"/>
  <c r="I45" i="8"/>
  <c r="H47" i="8"/>
  <c r="J47" i="8"/>
  <c r="I48" i="8"/>
  <c r="H51" i="8"/>
  <c r="J51" i="8"/>
  <c r="I52" i="8"/>
  <c r="H23" i="8"/>
  <c r="I23" i="8"/>
  <c r="J31" i="8"/>
  <c r="H46" i="8"/>
  <c r="J46" i="8"/>
  <c r="J11" i="8"/>
  <c r="J12" i="8"/>
  <c r="H12" i="8"/>
  <c r="J14" i="8"/>
  <c r="H20" i="8"/>
  <c r="J20" i="8"/>
  <c r="I21" i="8"/>
  <c r="H22" i="8"/>
  <c r="J22" i="8"/>
  <c r="I24" i="8"/>
  <c r="H30" i="8"/>
  <c r="J30" i="8"/>
  <c r="I32" i="8"/>
  <c r="J40" i="8"/>
  <c r="H40" i="8"/>
  <c r="P11" i="14"/>
  <c r="N4" i="14"/>
  <c r="N5" i="14" s="1"/>
  <c r="E4" i="15" s="1"/>
  <c r="O4" i="14"/>
  <c r="O5" i="14" s="1"/>
  <c r="F4" i="15" s="1"/>
  <c r="O7" i="14"/>
  <c r="N8" i="14"/>
  <c r="P8" i="14"/>
  <c r="O9" i="14"/>
  <c r="N10" i="14"/>
  <c r="P10" i="14"/>
  <c r="O13" i="14"/>
  <c r="N17" i="14"/>
  <c r="P17" i="14"/>
  <c r="O18" i="14"/>
  <c r="N19" i="14"/>
  <c r="P19" i="14"/>
  <c r="O27" i="14"/>
  <c r="N28" i="14"/>
  <c r="P28" i="14"/>
  <c r="O29" i="14"/>
  <c r="N52" i="14"/>
  <c r="P52" i="14"/>
  <c r="O53" i="14"/>
  <c r="N54" i="14"/>
  <c r="P54" i="14"/>
  <c r="O55" i="14"/>
  <c r="N56" i="14"/>
  <c r="P56" i="14"/>
  <c r="O20" i="14"/>
  <c r="N21" i="14"/>
  <c r="P21" i="14"/>
  <c r="O22" i="14"/>
  <c r="N24" i="14"/>
  <c r="P24" i="14"/>
  <c r="O30" i="14"/>
  <c r="N32" i="14"/>
  <c r="P32" i="14"/>
  <c r="O45" i="14"/>
  <c r="N46" i="14"/>
  <c r="P46" i="14"/>
  <c r="O49" i="14"/>
  <c r="O50" i="14" s="1"/>
  <c r="F11" i="15" s="1"/>
  <c r="N23" i="14"/>
  <c r="P23" i="14"/>
  <c r="O12" i="14"/>
  <c r="N14" i="14"/>
  <c r="O14" i="14"/>
  <c r="O31" i="14"/>
  <c r="H3" i="9"/>
  <c r="H4" i="9" s="1"/>
  <c r="I4" i="12" s="1"/>
  <c r="I3" i="9"/>
  <c r="I4" i="9" s="1"/>
  <c r="J4" i="12" s="1"/>
  <c r="I6" i="9"/>
  <c r="H7" i="9"/>
  <c r="J7" i="9"/>
  <c r="I8" i="9"/>
  <c r="H9" i="9"/>
  <c r="J9" i="9"/>
  <c r="I12" i="9"/>
  <c r="H16" i="9"/>
  <c r="J16" i="9"/>
  <c r="I17" i="9"/>
  <c r="H18" i="9"/>
  <c r="J18" i="9"/>
  <c r="I26" i="9"/>
  <c r="H27" i="9"/>
  <c r="J27" i="9"/>
  <c r="I28" i="9"/>
  <c r="I30" i="9"/>
  <c r="H22" i="9"/>
  <c r="J22" i="9"/>
  <c r="I42" i="9"/>
  <c r="I43" i="9" s="1"/>
  <c r="J12" i="12" s="1"/>
  <c r="P12" i="12" s="1"/>
  <c r="H45" i="9"/>
  <c r="J45" i="9"/>
  <c r="I49" i="9"/>
  <c r="H51" i="9"/>
  <c r="J51" i="9"/>
  <c r="I52" i="9"/>
  <c r="H55" i="9"/>
  <c r="J55" i="9"/>
  <c r="I57" i="9"/>
  <c r="H58" i="9"/>
  <c r="J58" i="9"/>
  <c r="I59" i="9"/>
  <c r="H10" i="9"/>
  <c r="I10" i="9"/>
  <c r="I11" i="9"/>
  <c r="H13" i="9"/>
  <c r="J13" i="9"/>
  <c r="I19" i="9"/>
  <c r="H20" i="9"/>
  <c r="J20" i="9"/>
  <c r="I21" i="9"/>
  <c r="H23" i="9"/>
  <c r="J23" i="9"/>
  <c r="I31" i="9"/>
  <c r="H62" i="9"/>
  <c r="J62" i="9"/>
  <c r="I63" i="9"/>
  <c r="J34" i="9"/>
  <c r="J36" i="9"/>
  <c r="H36" i="9"/>
  <c r="I35" i="9"/>
  <c r="H38" i="9"/>
  <c r="J38" i="9"/>
  <c r="H37" i="9"/>
  <c r="I37" i="9"/>
  <c r="I50" i="9"/>
  <c r="J46" i="9"/>
  <c r="H46" i="9"/>
  <c r="I56" i="9"/>
  <c r="I4" i="8"/>
  <c r="H7" i="8"/>
  <c r="J7" i="8"/>
  <c r="I8" i="8"/>
  <c r="H9" i="8"/>
  <c r="J9" i="8"/>
  <c r="I10" i="8"/>
  <c r="H17" i="8"/>
  <c r="J17" i="8"/>
  <c r="I18" i="8"/>
  <c r="H19" i="8"/>
  <c r="J19" i="8"/>
  <c r="I13" i="8"/>
  <c r="H27" i="8"/>
  <c r="J27" i="8"/>
  <c r="I28" i="8"/>
  <c r="H29" i="8"/>
  <c r="J29" i="8"/>
  <c r="I35" i="8"/>
  <c r="H36" i="8"/>
  <c r="J36" i="8"/>
  <c r="I39" i="8"/>
  <c r="H45" i="8"/>
  <c r="J45" i="8"/>
  <c r="I47" i="8"/>
  <c r="H48" i="8"/>
  <c r="J48" i="8"/>
  <c r="I51" i="8"/>
  <c r="I53" i="8" s="1"/>
  <c r="G17" i="12" s="1"/>
  <c r="H52" i="8"/>
  <c r="J52" i="8"/>
  <c r="J23" i="8"/>
  <c r="H31" i="8"/>
  <c r="I31" i="8"/>
  <c r="I46" i="8"/>
  <c r="H11" i="8"/>
  <c r="I11" i="8"/>
  <c r="I12" i="8"/>
  <c r="H14" i="8"/>
  <c r="I14" i="8"/>
  <c r="I20" i="8"/>
  <c r="H21" i="8"/>
  <c r="J21" i="8"/>
  <c r="I22" i="8"/>
  <c r="H24" i="8"/>
  <c r="J24" i="8"/>
  <c r="I30" i="8"/>
  <c r="H32" i="8"/>
  <c r="J32" i="8"/>
  <c r="I40" i="8"/>
  <c r="N11" i="14"/>
  <c r="O11" i="14"/>
  <c r="P4" i="14"/>
  <c r="P5" i="14" s="1"/>
  <c r="G4" i="15" s="1"/>
  <c r="N7" i="14"/>
  <c r="P7" i="14"/>
  <c r="O8" i="14"/>
  <c r="N9" i="14"/>
  <c r="P9" i="14"/>
  <c r="O10" i="14"/>
  <c r="N13" i="14"/>
  <c r="P13" i="14"/>
  <c r="O17" i="14"/>
  <c r="N18" i="14"/>
  <c r="P18" i="14"/>
  <c r="O19" i="14"/>
  <c r="N27" i="14"/>
  <c r="P27" i="14"/>
  <c r="O28" i="14"/>
  <c r="N29" i="14"/>
  <c r="P29" i="14"/>
  <c r="O52" i="14"/>
  <c r="N53" i="14"/>
  <c r="P53" i="14"/>
  <c r="O54" i="14"/>
  <c r="N55" i="14"/>
  <c r="P55" i="14"/>
  <c r="O56" i="14"/>
  <c r="N20" i="14"/>
  <c r="P20" i="14"/>
  <c r="O21" i="14"/>
  <c r="N22" i="14"/>
  <c r="P22" i="14"/>
  <c r="O24" i="14"/>
  <c r="N30" i="14"/>
  <c r="P30" i="14"/>
  <c r="O32" i="14"/>
  <c r="N45" i="14"/>
  <c r="P45" i="14"/>
  <c r="P47" i="14" s="1"/>
  <c r="G10" i="15" s="1"/>
  <c r="O46" i="14"/>
  <c r="O47" i="14" s="1"/>
  <c r="F10" i="15" s="1"/>
  <c r="N49" i="14"/>
  <c r="N50" i="14" s="1"/>
  <c r="E11" i="15" s="1"/>
  <c r="P49" i="14"/>
  <c r="P50" i="14" s="1"/>
  <c r="G11" i="15" s="1"/>
  <c r="O23" i="14"/>
  <c r="P12" i="14"/>
  <c r="N12" i="14"/>
  <c r="P14" i="14"/>
  <c r="N31" i="14"/>
  <c r="P31" i="14"/>
  <c r="J3" i="9"/>
  <c r="J4" i="9" s="1"/>
  <c r="K4" i="12" s="1"/>
  <c r="H6" i="9"/>
  <c r="J6" i="9"/>
  <c r="I7" i="9"/>
  <c r="H8" i="9"/>
  <c r="J8" i="9"/>
  <c r="I9" i="9"/>
  <c r="H12" i="9"/>
  <c r="J12" i="9"/>
  <c r="I16" i="9"/>
  <c r="H17" i="9"/>
  <c r="J17" i="9"/>
  <c r="I18" i="9"/>
  <c r="H26" i="9"/>
  <c r="J26" i="9"/>
  <c r="I27" i="9"/>
  <c r="H28" i="9"/>
  <c r="J28" i="9"/>
  <c r="H30" i="9"/>
  <c r="J30" i="9"/>
  <c r="I22" i="9"/>
  <c r="H42" i="9"/>
  <c r="H43" i="9" s="1"/>
  <c r="I12" i="12" s="1"/>
  <c r="O12" i="12" s="1"/>
  <c r="J42" i="9"/>
  <c r="J43" i="9" s="1"/>
  <c r="K12" i="12" s="1"/>
  <c r="Q12" i="12" s="1"/>
  <c r="I45" i="9"/>
  <c r="H49" i="9"/>
  <c r="J49" i="9"/>
  <c r="I51" i="9"/>
  <c r="H52" i="9"/>
  <c r="J52" i="9"/>
  <c r="I55" i="9"/>
  <c r="H57" i="9"/>
  <c r="J57" i="9"/>
  <c r="I58" i="9"/>
  <c r="H59" i="9"/>
  <c r="J59" i="9"/>
  <c r="J10" i="9"/>
  <c r="J11" i="9"/>
  <c r="H11" i="9"/>
  <c r="I13" i="9"/>
  <c r="H19" i="9"/>
  <c r="J19" i="9"/>
  <c r="I20" i="9"/>
  <c r="H21" i="9"/>
  <c r="J21" i="9"/>
  <c r="I23" i="9"/>
  <c r="H31" i="9"/>
  <c r="J31" i="9"/>
  <c r="I62" i="9"/>
  <c r="H63" i="9"/>
  <c r="J63" i="9"/>
  <c r="H34" i="9"/>
  <c r="I34" i="9"/>
  <c r="I36" i="9"/>
  <c r="J35" i="9"/>
  <c r="H35" i="9"/>
  <c r="J50" i="9"/>
  <c r="H50" i="9"/>
  <c r="I46" i="9"/>
  <c r="J56" i="9"/>
  <c r="H56" i="9"/>
  <c r="I64" i="9"/>
  <c r="J17" i="12" s="1"/>
  <c r="J43" i="8"/>
  <c r="H15" i="12" s="1"/>
  <c r="H33" i="8"/>
  <c r="F8" i="12" s="1"/>
  <c r="I37" i="8"/>
  <c r="G14" i="12" s="1"/>
  <c r="N47" i="14"/>
  <c r="E10" i="15" s="1"/>
  <c r="N25" i="14"/>
  <c r="E6" i="15" s="1"/>
  <c r="O15" i="14"/>
  <c r="F5" i="15" s="1"/>
  <c r="P15" i="14"/>
  <c r="G5" i="15" s="1"/>
  <c r="H49" i="8"/>
  <c r="F16" i="12" s="1"/>
  <c r="I49" i="8"/>
  <c r="G16" i="12" s="1"/>
  <c r="J39" i="14"/>
  <c r="H3" i="8"/>
  <c r="H5" i="8" s="1"/>
  <c r="F4" i="12" s="1"/>
  <c r="I3" i="8"/>
  <c r="I5" i="8" s="1"/>
  <c r="G4" i="12" s="1"/>
  <c r="J3" i="6"/>
  <c r="I7" i="6"/>
  <c r="J10" i="6"/>
  <c r="H10" i="6"/>
  <c r="I9" i="6"/>
  <c r="J8" i="6"/>
  <c r="H8" i="6"/>
  <c r="I17" i="6"/>
  <c r="J19" i="6"/>
  <c r="H19" i="6"/>
  <c r="I18" i="6"/>
  <c r="I27" i="6"/>
  <c r="H28" i="6"/>
  <c r="J28" i="6"/>
  <c r="I29" i="6"/>
  <c r="H35" i="6"/>
  <c r="J35" i="6"/>
  <c r="I36" i="6"/>
  <c r="H37" i="6"/>
  <c r="J37" i="6"/>
  <c r="I38" i="6"/>
  <c r="H42" i="6"/>
  <c r="J42" i="6"/>
  <c r="I43" i="6"/>
  <c r="H45" i="6"/>
  <c r="J45" i="6"/>
  <c r="I48" i="6"/>
  <c r="H49" i="6"/>
  <c r="J49" i="6"/>
  <c r="I52" i="6"/>
  <c r="H54" i="6"/>
  <c r="J54" i="6"/>
  <c r="I55" i="6"/>
  <c r="H58" i="6"/>
  <c r="J58" i="6"/>
  <c r="I59" i="6"/>
  <c r="H60" i="6"/>
  <c r="J60" i="6"/>
  <c r="I61" i="6"/>
  <c r="H62" i="6"/>
  <c r="J62" i="6"/>
  <c r="I63" i="6"/>
  <c r="H66" i="6"/>
  <c r="J66" i="6"/>
  <c r="I67" i="6"/>
  <c r="H4" i="6"/>
  <c r="I4" i="6"/>
  <c r="J23" i="6"/>
  <c r="H31" i="6"/>
  <c r="J31" i="6"/>
  <c r="H11" i="6"/>
  <c r="I11" i="6"/>
  <c r="I12" i="6"/>
  <c r="H14" i="6"/>
  <c r="J14" i="6"/>
  <c r="I20" i="6"/>
  <c r="H21" i="6"/>
  <c r="J21" i="6"/>
  <c r="I22" i="6"/>
  <c r="H24" i="6"/>
  <c r="J24" i="6"/>
  <c r="I30" i="6"/>
  <c r="H32" i="6"/>
  <c r="J32" i="6"/>
  <c r="J44" i="6"/>
  <c r="J39" i="6"/>
  <c r="H13" i="6"/>
  <c r="J13" i="6"/>
  <c r="J11" i="14"/>
  <c r="I12" i="14"/>
  <c r="K12" i="14"/>
  <c r="J20" i="14"/>
  <c r="I21" i="14"/>
  <c r="K21" i="14"/>
  <c r="J22" i="14"/>
  <c r="I4" i="14"/>
  <c r="I5" i="14" s="1"/>
  <c r="B4" i="15" s="1"/>
  <c r="N4" i="15" s="1"/>
  <c r="K4" i="14"/>
  <c r="K5" i="14" s="1"/>
  <c r="D4" i="15" s="1"/>
  <c r="P4" i="15" s="1"/>
  <c r="J7" i="14"/>
  <c r="I8" i="14"/>
  <c r="K8" i="14"/>
  <c r="J9" i="14"/>
  <c r="I10" i="14"/>
  <c r="K10" i="14"/>
  <c r="J13" i="14"/>
  <c r="I17" i="14"/>
  <c r="K17" i="14"/>
  <c r="I18" i="14"/>
  <c r="K18" i="14"/>
  <c r="J19" i="14"/>
  <c r="I27" i="14"/>
  <c r="K27" i="14"/>
  <c r="J28" i="14"/>
  <c r="I29" i="14"/>
  <c r="K29" i="14"/>
  <c r="J14" i="14"/>
  <c r="I23" i="14"/>
  <c r="K23" i="14"/>
  <c r="J24" i="14"/>
  <c r="I30" i="14"/>
  <c r="K30" i="14"/>
  <c r="J32" i="14"/>
  <c r="I31" i="14"/>
  <c r="K31" i="14"/>
  <c r="J35" i="14"/>
  <c r="I36" i="14"/>
  <c r="K36" i="14"/>
  <c r="J37" i="14"/>
  <c r="I38" i="14"/>
  <c r="K38" i="14"/>
  <c r="K39" i="14"/>
  <c r="I49" i="14"/>
  <c r="K49" i="14"/>
  <c r="K50" i="14" s="1"/>
  <c r="D11" i="15" s="1"/>
  <c r="I46" i="14"/>
  <c r="J46" i="14"/>
  <c r="J45" i="14"/>
  <c r="J52" i="14"/>
  <c r="I54" i="14"/>
  <c r="K54" i="14"/>
  <c r="J55" i="14"/>
  <c r="I56" i="14"/>
  <c r="K56" i="14"/>
  <c r="J53" i="14"/>
  <c r="J3" i="8"/>
  <c r="J5" i="8" s="1"/>
  <c r="H4" i="12" s="1"/>
  <c r="H3" i="6"/>
  <c r="I3" i="6"/>
  <c r="H7" i="6"/>
  <c r="J7" i="6"/>
  <c r="I10" i="6"/>
  <c r="J9" i="6"/>
  <c r="H9" i="6"/>
  <c r="I8" i="6"/>
  <c r="H17" i="6"/>
  <c r="J17" i="6"/>
  <c r="I19" i="6"/>
  <c r="J18" i="6"/>
  <c r="H18" i="6"/>
  <c r="H27" i="6"/>
  <c r="J27" i="6"/>
  <c r="I28" i="6"/>
  <c r="H29" i="6"/>
  <c r="J29" i="6"/>
  <c r="I35" i="6"/>
  <c r="H36" i="6"/>
  <c r="J36" i="6"/>
  <c r="I37" i="6"/>
  <c r="H38" i="6"/>
  <c r="J38" i="6"/>
  <c r="I42" i="6"/>
  <c r="H43" i="6"/>
  <c r="J43" i="6"/>
  <c r="I45" i="6"/>
  <c r="H48" i="6"/>
  <c r="J48" i="6"/>
  <c r="I49" i="6"/>
  <c r="H52" i="6"/>
  <c r="J52" i="6"/>
  <c r="I54" i="6"/>
  <c r="I56" i="6" s="1"/>
  <c r="D15" i="12" s="1"/>
  <c r="H55" i="6"/>
  <c r="J55" i="6"/>
  <c r="I58" i="6"/>
  <c r="H59" i="6"/>
  <c r="J59" i="6"/>
  <c r="I60" i="6"/>
  <c r="H61" i="6"/>
  <c r="J61" i="6"/>
  <c r="I62" i="6"/>
  <c r="H63" i="6"/>
  <c r="J63" i="6"/>
  <c r="I66" i="6"/>
  <c r="H67" i="6"/>
  <c r="J67" i="6"/>
  <c r="H23" i="6"/>
  <c r="I23" i="6"/>
  <c r="I31" i="6"/>
  <c r="J11" i="6"/>
  <c r="H12" i="6"/>
  <c r="J12" i="6"/>
  <c r="I14" i="6"/>
  <c r="H20" i="6"/>
  <c r="J20" i="6"/>
  <c r="I21" i="6"/>
  <c r="H22" i="6"/>
  <c r="J22" i="6"/>
  <c r="I24" i="6"/>
  <c r="H30" i="6"/>
  <c r="J30" i="6"/>
  <c r="I32" i="6"/>
  <c r="I33" i="6" s="1"/>
  <c r="D8" i="12" s="1"/>
  <c r="H44" i="6"/>
  <c r="I44" i="6"/>
  <c r="H39" i="6"/>
  <c r="I39" i="6"/>
  <c r="I13" i="6"/>
  <c r="I11" i="14"/>
  <c r="K11" i="14"/>
  <c r="J12" i="14"/>
  <c r="I20" i="14"/>
  <c r="K20" i="14"/>
  <c r="J21" i="14"/>
  <c r="I22" i="14"/>
  <c r="K22" i="14"/>
  <c r="J4" i="14"/>
  <c r="J5" i="14" s="1"/>
  <c r="C4" i="15" s="1"/>
  <c r="O4" i="15" s="1"/>
  <c r="I7" i="14"/>
  <c r="K7" i="14"/>
  <c r="J8" i="14"/>
  <c r="I9" i="14"/>
  <c r="K9" i="14"/>
  <c r="J10" i="14"/>
  <c r="I13" i="14"/>
  <c r="K13" i="14"/>
  <c r="J17" i="14"/>
  <c r="J18" i="14"/>
  <c r="I19" i="14"/>
  <c r="K19" i="14"/>
  <c r="J27" i="14"/>
  <c r="I28" i="14"/>
  <c r="K28" i="14"/>
  <c r="J29" i="14"/>
  <c r="I14" i="14"/>
  <c r="K14" i="14"/>
  <c r="J23" i="14"/>
  <c r="I24" i="14"/>
  <c r="K24" i="14"/>
  <c r="J30" i="14"/>
  <c r="I32" i="14"/>
  <c r="K32" i="14"/>
  <c r="I35" i="14"/>
  <c r="K35" i="14"/>
  <c r="J36" i="14"/>
  <c r="I37" i="14"/>
  <c r="K37" i="14"/>
  <c r="J38" i="14"/>
  <c r="I39" i="14"/>
  <c r="J49" i="14"/>
  <c r="I45" i="14"/>
  <c r="K46" i="14"/>
  <c r="K45" i="14"/>
  <c r="I52" i="14"/>
  <c r="T57" i="14" s="1"/>
  <c r="I12" i="15" s="1"/>
  <c r="K52" i="14"/>
  <c r="J54" i="14"/>
  <c r="I55" i="14"/>
  <c r="K55" i="14"/>
  <c r="J56" i="14"/>
  <c r="K53" i="14"/>
  <c r="I5" i="6"/>
  <c r="D4" i="12" s="1"/>
  <c r="I50" i="6"/>
  <c r="D14" i="12" s="1"/>
  <c r="H64" i="6"/>
  <c r="C16" i="12" s="1"/>
  <c r="H68" i="6"/>
  <c r="C17" i="12" s="1"/>
  <c r="J68" i="6"/>
  <c r="E17" i="12" s="1"/>
  <c r="J5" i="6"/>
  <c r="E4" i="12" s="1"/>
  <c r="Q4" i="12" s="1"/>
  <c r="J15" i="6"/>
  <c r="E6" i="12" s="1"/>
  <c r="J25" i="6"/>
  <c r="E7" i="12" s="1"/>
  <c r="I40" i="6"/>
  <c r="D9" i="12" s="1"/>
  <c r="P9" i="12" s="1"/>
  <c r="H50" i="6"/>
  <c r="C14" i="12" s="1"/>
  <c r="H56" i="6"/>
  <c r="C15" i="12" s="1"/>
  <c r="I64" i="6"/>
  <c r="D16" i="12" s="1"/>
  <c r="J33" i="6"/>
  <c r="E8" i="12" s="1"/>
  <c r="F2" i="7"/>
  <c r="G2" i="7" s="1"/>
  <c r="H2" i="7" s="1"/>
  <c r="I2" i="7" s="1"/>
  <c r="H80" i="10" l="1"/>
  <c r="L16" i="12" s="1"/>
  <c r="P4" i="12"/>
  <c r="N33" i="14"/>
  <c r="E7" i="15" s="1"/>
  <c r="J47" i="9"/>
  <c r="K14" i="12" s="1"/>
  <c r="Z57" i="14"/>
  <c r="M12" i="15" s="1"/>
  <c r="H46" i="6"/>
  <c r="C10" i="12" s="1"/>
  <c r="O10" i="12" s="1"/>
  <c r="J56" i="6"/>
  <c r="E15" i="12" s="1"/>
  <c r="H32" i="9"/>
  <c r="I8" i="12" s="1"/>
  <c r="H14" i="9"/>
  <c r="I6" i="12" s="1"/>
  <c r="O25" i="14"/>
  <c r="F6" i="15" s="1"/>
  <c r="O57" i="14"/>
  <c r="F12" i="15" s="1"/>
  <c r="N15" i="14"/>
  <c r="E5" i="15" s="1"/>
  <c r="J49" i="8"/>
  <c r="H16" i="12" s="1"/>
  <c r="J33" i="8"/>
  <c r="P25" i="14"/>
  <c r="G6" i="15" s="1"/>
  <c r="V26" i="16"/>
  <c r="W26" i="16" s="1"/>
  <c r="I68" i="6"/>
  <c r="D17" i="12" s="1"/>
  <c r="J64" i="6"/>
  <c r="E16" i="12" s="1"/>
  <c r="J50" i="6"/>
  <c r="E14" i="12" s="1"/>
  <c r="J46" i="6"/>
  <c r="E10" i="12" s="1"/>
  <c r="Q10" i="12" s="1"/>
  <c r="J40" i="6"/>
  <c r="E9" i="12" s="1"/>
  <c r="Q9" i="12" s="1"/>
  <c r="H33" i="6"/>
  <c r="C8" i="12" s="1"/>
  <c r="I15" i="6"/>
  <c r="D6" i="12" s="1"/>
  <c r="I46" i="6"/>
  <c r="D10" i="12" s="1"/>
  <c r="P10" i="12" s="1"/>
  <c r="H25" i="6"/>
  <c r="C7" i="12" s="1"/>
  <c r="H15" i="6"/>
  <c r="C6" i="12" s="1"/>
  <c r="H5" i="6"/>
  <c r="C4" i="12" s="1"/>
  <c r="H68" i="10"/>
  <c r="L15" i="12" s="1"/>
  <c r="E25" i="16" s="1"/>
  <c r="H53" i="9"/>
  <c r="I15" i="12" s="1"/>
  <c r="I43" i="8"/>
  <c r="G15" i="12" s="1"/>
  <c r="F23" i="16" s="1"/>
  <c r="H43" i="8"/>
  <c r="F15" i="12" s="1"/>
  <c r="P33" i="14"/>
  <c r="G7" i="15" s="1"/>
  <c r="E22" i="16"/>
  <c r="G4" i="16"/>
  <c r="G22" i="16"/>
  <c r="G10" i="16"/>
  <c r="F10" i="16"/>
  <c r="F4" i="16"/>
  <c r="I23" i="16"/>
  <c r="I11" i="16"/>
  <c r="I24" i="9"/>
  <c r="J7" i="12" s="1"/>
  <c r="H40" i="6"/>
  <c r="C9" i="12" s="1"/>
  <c r="I25" i="6"/>
  <c r="D7" i="12" s="1"/>
  <c r="J14" i="9"/>
  <c r="K6" i="12" s="1"/>
  <c r="J53" i="9"/>
  <c r="K15" i="12" s="1"/>
  <c r="J7" i="16"/>
  <c r="J25" i="16"/>
  <c r="J32" i="9"/>
  <c r="K8" i="12" s="1"/>
  <c r="H25" i="8"/>
  <c r="F7" i="12" s="1"/>
  <c r="H15" i="8"/>
  <c r="F6" i="12" s="1"/>
  <c r="J64" i="9"/>
  <c r="K17" i="12" s="1"/>
  <c r="J60" i="9"/>
  <c r="K16" i="12" s="1"/>
  <c r="H24" i="9"/>
  <c r="I7" i="12" s="1"/>
  <c r="N57" i="14"/>
  <c r="E12" i="15" s="1"/>
  <c r="H23" i="16" s="1"/>
  <c r="O33" i="14"/>
  <c r="F7" i="15" s="1"/>
  <c r="H53" i="8"/>
  <c r="F17" i="12" s="1"/>
  <c r="E23" i="16" s="1"/>
  <c r="J37" i="8"/>
  <c r="H14" i="12" s="1"/>
  <c r="U40" i="14"/>
  <c r="J8" i="15" s="1"/>
  <c r="S40" i="14"/>
  <c r="H8" i="15" s="1"/>
  <c r="S15" i="14"/>
  <c r="H5" i="15" s="1"/>
  <c r="S25" i="14"/>
  <c r="H6" i="15" s="1"/>
  <c r="S57" i="14"/>
  <c r="H12" i="15" s="1"/>
  <c r="H24" i="16" s="1"/>
  <c r="Y40" i="14"/>
  <c r="L8" i="15" s="1"/>
  <c r="I68" i="10"/>
  <c r="M15" i="12" s="1"/>
  <c r="J62" i="10"/>
  <c r="N14" i="12" s="1"/>
  <c r="Z15" i="14"/>
  <c r="M5" i="15" s="1"/>
  <c r="X47" i="14"/>
  <c r="K10" i="15" s="1"/>
  <c r="I9" i="10"/>
  <c r="H9" i="10"/>
  <c r="J54" i="10"/>
  <c r="J55" i="10" s="1"/>
  <c r="N8" i="12" s="1"/>
  <c r="G7" i="16" s="1"/>
  <c r="H54" i="10"/>
  <c r="H55" i="10" s="1"/>
  <c r="L8" i="12" s="1"/>
  <c r="E7" i="16" s="1"/>
  <c r="I43" i="10"/>
  <c r="I44" i="10" s="1"/>
  <c r="M7" i="12" s="1"/>
  <c r="J30" i="10"/>
  <c r="J31" i="10" s="1"/>
  <c r="N6" i="12" s="1"/>
  <c r="H30" i="10"/>
  <c r="J17" i="10"/>
  <c r="I54" i="10"/>
  <c r="I55" i="10" s="1"/>
  <c r="M8" i="12" s="1"/>
  <c r="J43" i="10"/>
  <c r="J44" i="10" s="1"/>
  <c r="N7" i="12" s="1"/>
  <c r="H43" i="10"/>
  <c r="H44" i="10" s="1"/>
  <c r="L7" i="12" s="1"/>
  <c r="E19" i="16" s="1"/>
  <c r="I30" i="10"/>
  <c r="I31" i="10" s="1"/>
  <c r="M6" i="12" s="1"/>
  <c r="I17" i="10"/>
  <c r="I18" i="10" s="1"/>
  <c r="M5" i="12" s="1"/>
  <c r="P5" i="12" s="1"/>
  <c r="H17" i="10"/>
  <c r="H18" i="10" s="1"/>
  <c r="L5" i="12" s="1"/>
  <c r="O5" i="12" s="1"/>
  <c r="I39" i="9"/>
  <c r="H39" i="9"/>
  <c r="H40" i="9" s="1"/>
  <c r="I11" i="12" s="1"/>
  <c r="O11" i="12" s="1"/>
  <c r="J39" i="9"/>
  <c r="J40" i="9" s="1"/>
  <c r="K11" i="12" s="1"/>
  <c r="Q11" i="12" s="1"/>
  <c r="I40" i="9"/>
  <c r="J11" i="12" s="1"/>
  <c r="P11" i="12" s="1"/>
  <c r="I60" i="9"/>
  <c r="J16" i="12" s="1"/>
  <c r="I47" i="9"/>
  <c r="J14" i="12" s="1"/>
  <c r="P14" i="12" s="1"/>
  <c r="J25" i="8"/>
  <c r="H7" i="12" s="1"/>
  <c r="Q7" i="12" s="1"/>
  <c r="J15" i="8"/>
  <c r="H6" i="12" s="1"/>
  <c r="Q6" i="12" s="1"/>
  <c r="H64" i="9"/>
  <c r="I17" i="12" s="1"/>
  <c r="H60" i="9"/>
  <c r="I16" i="12" s="1"/>
  <c r="E24" i="16" s="1"/>
  <c r="I53" i="9"/>
  <c r="J15" i="12" s="1"/>
  <c r="F24" i="16" s="1"/>
  <c r="H47" i="9"/>
  <c r="I14" i="12" s="1"/>
  <c r="I32" i="9"/>
  <c r="J8" i="12" s="1"/>
  <c r="F6" i="16" s="1"/>
  <c r="J24" i="9"/>
  <c r="K7" i="12" s="1"/>
  <c r="G18" i="16" s="1"/>
  <c r="I14" i="9"/>
  <c r="J6" i="12" s="1"/>
  <c r="F12" i="16" s="1"/>
  <c r="P57" i="14"/>
  <c r="G12" i="15" s="1"/>
  <c r="J11" i="16" s="1"/>
  <c r="J53" i="8"/>
  <c r="H17" i="12" s="1"/>
  <c r="G23" i="16" s="1"/>
  <c r="H37" i="8"/>
  <c r="F14" i="12" s="1"/>
  <c r="I33" i="8"/>
  <c r="I25" i="8"/>
  <c r="G7" i="12" s="1"/>
  <c r="F17" i="16" s="1"/>
  <c r="K17" i="16" s="1"/>
  <c r="I15" i="8"/>
  <c r="G6" i="12" s="1"/>
  <c r="F11" i="16" s="1"/>
  <c r="K11" i="16" s="1"/>
  <c r="T40" i="14"/>
  <c r="I8" i="15" s="1"/>
  <c r="Z40" i="14"/>
  <c r="M8" i="15" s="1"/>
  <c r="S33" i="14"/>
  <c r="H7" i="15" s="1"/>
  <c r="H6" i="16" s="1"/>
  <c r="X40" i="14"/>
  <c r="K8" i="15" s="1"/>
  <c r="J68" i="10"/>
  <c r="N15" i="12" s="1"/>
  <c r="J18" i="10"/>
  <c r="N5" i="12" s="1"/>
  <c r="Q5" i="12" s="1"/>
  <c r="J84" i="10"/>
  <c r="N17" i="12" s="1"/>
  <c r="J80" i="10"/>
  <c r="N16" i="12" s="1"/>
  <c r="X25" i="14"/>
  <c r="K6" i="15" s="1"/>
  <c r="X33" i="14"/>
  <c r="K7" i="15" s="1"/>
  <c r="H7" i="16" s="1"/>
  <c r="X57" i="14"/>
  <c r="K12" i="15" s="1"/>
  <c r="H25" i="16" s="1"/>
  <c r="H31" i="10"/>
  <c r="L6" i="12" s="1"/>
  <c r="E13" i="16" s="1"/>
  <c r="H62" i="10"/>
  <c r="L14" i="12" s="1"/>
  <c r="I84" i="10"/>
  <c r="M17" i="12" s="1"/>
  <c r="I80" i="10"/>
  <c r="M16" i="12" s="1"/>
  <c r="X15" i="14"/>
  <c r="K5" i="15" s="1"/>
  <c r="H13" i="16" s="1"/>
  <c r="Y25" i="14"/>
  <c r="L6" i="15" s="1"/>
  <c r="Y33" i="14"/>
  <c r="L7" i="15" s="1"/>
  <c r="I7" i="16" s="1"/>
  <c r="Y57" i="14"/>
  <c r="L12" i="15" s="1"/>
  <c r="I25" i="16" s="1"/>
  <c r="Z47" i="14"/>
  <c r="M10" i="15" s="1"/>
  <c r="J9" i="10"/>
  <c r="I47" i="14"/>
  <c r="B10" i="15" s="1"/>
  <c r="N10" i="15" s="1"/>
  <c r="T47" i="14"/>
  <c r="I10" i="15" s="1"/>
  <c r="I50" i="14"/>
  <c r="B11" i="15" s="1"/>
  <c r="T50" i="14"/>
  <c r="I11" i="15" s="1"/>
  <c r="I24" i="16" s="1"/>
  <c r="K24" i="16" s="1"/>
  <c r="U33" i="14"/>
  <c r="J7" i="15" s="1"/>
  <c r="U25" i="14"/>
  <c r="J6" i="15" s="1"/>
  <c r="U47" i="14"/>
  <c r="J10" i="15" s="1"/>
  <c r="J50" i="14"/>
  <c r="C11" i="15" s="1"/>
  <c r="U50" i="14"/>
  <c r="J11" i="15" s="1"/>
  <c r="T15" i="14"/>
  <c r="I5" i="15" s="1"/>
  <c r="I12" i="16" s="1"/>
  <c r="U57" i="14"/>
  <c r="J12" i="15" s="1"/>
  <c r="T33" i="14"/>
  <c r="I7" i="15" s="1"/>
  <c r="I6" i="16" s="1"/>
  <c r="T25" i="14"/>
  <c r="I6" i="15" s="1"/>
  <c r="I18" i="16" s="1"/>
  <c r="U15" i="14"/>
  <c r="J5" i="15" s="1"/>
  <c r="H8" i="12"/>
  <c r="G5" i="16" s="1"/>
  <c r="J47" i="14"/>
  <c r="C10" i="15" s="1"/>
  <c r="O10" i="15" s="1"/>
  <c r="K57" i="14"/>
  <c r="D12" i="15" s="1"/>
  <c r="K47" i="14"/>
  <c r="D10" i="15" s="1"/>
  <c r="P10" i="15" s="1"/>
  <c r="I57" i="14"/>
  <c r="B12" i="15" s="1"/>
  <c r="N12" i="15" s="1"/>
  <c r="K40" i="14"/>
  <c r="D8" i="15" s="1"/>
  <c r="P8" i="15" s="1"/>
  <c r="K15" i="14"/>
  <c r="D5" i="15" s="1"/>
  <c r="J57" i="14"/>
  <c r="C12" i="15" s="1"/>
  <c r="O12" i="15" s="1"/>
  <c r="J40" i="14"/>
  <c r="C8" i="15" s="1"/>
  <c r="O8" i="15" s="1"/>
  <c r="I33" i="14"/>
  <c r="B7" i="15" s="1"/>
  <c r="I25" i="14"/>
  <c r="B6" i="15" s="1"/>
  <c r="I40" i="14"/>
  <c r="B8" i="15" s="1"/>
  <c r="N8" i="15" s="1"/>
  <c r="J33" i="14"/>
  <c r="C7" i="15" s="1"/>
  <c r="J25" i="14"/>
  <c r="C6" i="15" s="1"/>
  <c r="I15" i="14"/>
  <c r="B5" i="15" s="1"/>
  <c r="K33" i="14"/>
  <c r="D7" i="15" s="1"/>
  <c r="K25" i="14"/>
  <c r="D6" i="15" s="1"/>
  <c r="J15" i="14"/>
  <c r="C5" i="15" s="1"/>
  <c r="P16" i="12" l="1"/>
  <c r="O14" i="12"/>
  <c r="O15" i="12"/>
  <c r="E10" i="16"/>
  <c r="O9" i="12"/>
  <c r="O6" i="12"/>
  <c r="O8" i="12"/>
  <c r="Q16" i="12"/>
  <c r="O17" i="12"/>
  <c r="O16" i="12"/>
  <c r="Q8" i="12"/>
  <c r="H18" i="16"/>
  <c r="P7" i="12"/>
  <c r="E4" i="16"/>
  <c r="O4" i="12"/>
  <c r="O7" i="12"/>
  <c r="P6" i="12"/>
  <c r="Q14" i="12"/>
  <c r="P17" i="12"/>
  <c r="Q15" i="12"/>
  <c r="P15" i="12"/>
  <c r="F22" i="16"/>
  <c r="Q17" i="12"/>
  <c r="I4" i="16"/>
  <c r="J10" i="16"/>
  <c r="P5" i="15"/>
  <c r="J22" i="16"/>
  <c r="P12" i="15"/>
  <c r="J24" i="16"/>
  <c r="J6" i="16"/>
  <c r="H22" i="16"/>
  <c r="H26" i="16" s="1"/>
  <c r="N11" i="15"/>
  <c r="F7" i="16"/>
  <c r="G25" i="16"/>
  <c r="G11" i="16"/>
  <c r="F13" i="16"/>
  <c r="G19" i="16"/>
  <c r="G13" i="16"/>
  <c r="I13" i="16"/>
  <c r="K13" i="16" s="1"/>
  <c r="E17" i="16"/>
  <c r="J16" i="16"/>
  <c r="P6" i="15"/>
  <c r="H10" i="16"/>
  <c r="N5" i="15"/>
  <c r="H16" i="16"/>
  <c r="N6" i="15"/>
  <c r="I10" i="16"/>
  <c r="I14" i="16" s="1"/>
  <c r="O5" i="15"/>
  <c r="J4" i="16"/>
  <c r="P7" i="15"/>
  <c r="I16" i="16"/>
  <c r="K16" i="16" s="1"/>
  <c r="O6" i="15"/>
  <c r="H4" i="16"/>
  <c r="N7" i="15"/>
  <c r="J12" i="16"/>
  <c r="I22" i="16"/>
  <c r="O11" i="15"/>
  <c r="J18" i="16"/>
  <c r="G17" i="16"/>
  <c r="F19" i="16"/>
  <c r="J13" i="16"/>
  <c r="F25" i="16"/>
  <c r="K25" i="16" s="1"/>
  <c r="E11" i="16"/>
  <c r="P11" i="15"/>
  <c r="G12" i="16"/>
  <c r="G24" i="16"/>
  <c r="G26" i="16" s="1"/>
  <c r="F18" i="16"/>
  <c r="K18" i="16" s="1"/>
  <c r="E12" i="16"/>
  <c r="E14" i="16" s="1"/>
  <c r="E18" i="16"/>
  <c r="H12" i="16"/>
  <c r="K23" i="16"/>
  <c r="K7" i="16"/>
  <c r="K22" i="16"/>
  <c r="I26" i="16"/>
  <c r="K12" i="16"/>
  <c r="E26" i="16"/>
  <c r="G6" i="16"/>
  <c r="G8" i="16" s="1"/>
  <c r="E6" i="16"/>
  <c r="H11" i="16"/>
  <c r="J5" i="16"/>
  <c r="E5" i="16"/>
  <c r="H5" i="16"/>
  <c r="J23" i="16"/>
  <c r="E20" i="16"/>
  <c r="K6" i="16"/>
  <c r="F20" i="16"/>
  <c r="F14" i="16"/>
  <c r="K14" i="16" s="1"/>
  <c r="I5" i="16"/>
  <c r="G8" i="12"/>
  <c r="K4" i="16"/>
  <c r="F5" i="16" l="1"/>
  <c r="P8" i="12"/>
  <c r="G20" i="16"/>
  <c r="F26" i="16"/>
  <c r="K26" i="16" s="1"/>
  <c r="J26" i="16"/>
  <c r="H20" i="16"/>
  <c r="H14" i="16"/>
  <c r="I20" i="16"/>
  <c r="J14" i="16"/>
  <c r="F8" i="16"/>
  <c r="K19" i="16"/>
  <c r="K10" i="16"/>
  <c r="H8" i="16"/>
  <c r="J20" i="16"/>
  <c r="J8" i="16"/>
  <c r="G14" i="16"/>
  <c r="O7" i="15"/>
  <c r="K5" i="16"/>
  <c r="I8" i="16"/>
  <c r="K20" i="16"/>
  <c r="E8" i="16"/>
  <c r="K8" i="16" l="1"/>
</calcChain>
</file>

<file path=xl/sharedStrings.xml><?xml version="1.0" encoding="utf-8"?>
<sst xmlns="http://schemas.openxmlformats.org/spreadsheetml/2006/main" count="1864" uniqueCount="436">
  <si>
    <t>Level</t>
  </si>
  <si>
    <t>Pro-Forma Cost</t>
  </si>
  <si>
    <t>Role</t>
  </si>
  <si>
    <t>Last Name</t>
  </si>
  <si>
    <t>First Name</t>
  </si>
  <si>
    <t xml:space="preserve">Naomi </t>
  </si>
  <si>
    <t>Kitahara</t>
  </si>
  <si>
    <t>CAP</t>
  </si>
  <si>
    <t>Jorge</t>
  </si>
  <si>
    <t>Finance Specialist</t>
  </si>
  <si>
    <t>Responsibility</t>
  </si>
  <si>
    <t>DRR (P)</t>
  </si>
  <si>
    <t>Bernardo</t>
  </si>
  <si>
    <t>Habiba</t>
  </si>
  <si>
    <t>Rodolfo</t>
  </si>
  <si>
    <t>Abilio</t>
  </si>
  <si>
    <t>Alfeu</t>
  </si>
  <si>
    <t xml:space="preserve">Jaime </t>
  </si>
  <si>
    <t>Comiche</t>
  </si>
  <si>
    <t>Julieta</t>
  </si>
  <si>
    <t>Sevene</t>
  </si>
  <si>
    <t>Programme Specialist</t>
  </si>
  <si>
    <t>UNFPA Operations Manager</t>
  </si>
  <si>
    <t>Programme Analyst</t>
  </si>
  <si>
    <t>Procurement Associate</t>
  </si>
  <si>
    <t>CAP (Secretary)</t>
  </si>
  <si>
    <t>Domingos</t>
  </si>
  <si>
    <t>Onofre</t>
  </si>
  <si>
    <t>Laura</t>
  </si>
  <si>
    <t>Mausse</t>
  </si>
  <si>
    <t>Administrative Associate</t>
  </si>
  <si>
    <t>Carl</t>
  </si>
  <si>
    <t>Howorth</t>
  </si>
  <si>
    <t>Supply &amp; Logistics Manager</t>
  </si>
  <si>
    <t>Virginia</t>
  </si>
  <si>
    <t>Chilengo</t>
  </si>
  <si>
    <t>Procurement Officer</t>
  </si>
  <si>
    <t>Fatima</t>
  </si>
  <si>
    <t>Lala</t>
  </si>
  <si>
    <t>Procurement Assistant</t>
  </si>
  <si>
    <t>Benvindo</t>
  </si>
  <si>
    <t>Lourenco</t>
  </si>
  <si>
    <t>Shipping Assistant</t>
  </si>
  <si>
    <t>Lino</t>
  </si>
  <si>
    <t>Matsinhe</t>
  </si>
  <si>
    <t>Shipping &amp; Logistics Assistant</t>
  </si>
  <si>
    <t>Sonia</t>
  </si>
  <si>
    <t xml:space="preserve"> Freitas</t>
  </si>
  <si>
    <t xml:space="preserve">Mugnil </t>
  </si>
  <si>
    <t>Dauto</t>
  </si>
  <si>
    <t>Sara</t>
  </si>
  <si>
    <t>Zandamela</t>
  </si>
  <si>
    <t>Dani</t>
  </si>
  <si>
    <t xml:space="preserve">Etelvina </t>
  </si>
  <si>
    <t>Martins</t>
  </si>
  <si>
    <t>UNV</t>
  </si>
  <si>
    <t xml:space="preserve">Maria </t>
  </si>
  <si>
    <t>Ventura</t>
  </si>
  <si>
    <t>Vanusa</t>
  </si>
  <si>
    <t>Cosmo</t>
  </si>
  <si>
    <t>Nhantumbo</t>
  </si>
  <si>
    <t>Actor</t>
  </si>
  <si>
    <t>Category</t>
  </si>
  <si>
    <t>Procurement Associate/Procurement Analyst</t>
  </si>
  <si>
    <t xml:space="preserve">Initiation </t>
  </si>
  <si>
    <t>Evaluation Committee</t>
  </si>
  <si>
    <t>Prepare Evaluation Report/Comparative Analysis Sheet</t>
  </si>
  <si>
    <t>Sign Evaluation Report</t>
  </si>
  <si>
    <t>Financial Evaluation</t>
  </si>
  <si>
    <t>Receive and Review CAP Submission</t>
  </si>
  <si>
    <t>CAP Secretary</t>
  </si>
  <si>
    <t>CAP Review</t>
  </si>
  <si>
    <t>Follow-up and Obtain Missing Documents</t>
  </si>
  <si>
    <t>Prepare Case for CAP and Arrange for Meeting</t>
  </si>
  <si>
    <t xml:space="preserve">CAP  </t>
  </si>
  <si>
    <t>Write CAP Report</t>
  </si>
  <si>
    <t>Review and Sign CAP Report (Time per Case)</t>
  </si>
  <si>
    <t>Country Director</t>
  </si>
  <si>
    <t>Prepare ACP Submission</t>
  </si>
  <si>
    <t>Procurement Analyst</t>
  </si>
  <si>
    <t>ACP Review</t>
  </si>
  <si>
    <t>Prepare Contract</t>
  </si>
  <si>
    <t>Procurement of Services only</t>
  </si>
  <si>
    <t>Sign Purchase Order</t>
  </si>
  <si>
    <t>Prepare, Review and Approve Invitation to Bid</t>
  </si>
  <si>
    <t>Prepare, Review and Approve Request for Proposal</t>
  </si>
  <si>
    <t>Prepare, Review and Approve Request for Quotation</t>
  </si>
  <si>
    <t>Technical Evaluation</t>
  </si>
  <si>
    <t>Receive and Sort Bid</t>
  </si>
  <si>
    <t>Receive and Sort Proposals</t>
  </si>
  <si>
    <t>Receive and Sort Quotes</t>
  </si>
  <si>
    <t>Receive and Review CRC Submission</t>
  </si>
  <si>
    <t>CRC Review</t>
  </si>
  <si>
    <t>Raise Purchase Order</t>
  </si>
  <si>
    <t>CRC Secretary</t>
  </si>
  <si>
    <t xml:space="preserve">Position Title </t>
  </si>
  <si>
    <t>Grade</t>
  </si>
  <si>
    <t>Fund Code</t>
  </si>
  <si>
    <t>Proforma Cost</t>
  </si>
  <si>
    <t>D1</t>
  </si>
  <si>
    <t>Resident Representative</t>
  </si>
  <si>
    <t>D2</t>
  </si>
  <si>
    <t>Deputy Res Rep Program</t>
  </si>
  <si>
    <t>P5</t>
  </si>
  <si>
    <t>Field Security Specialist</t>
  </si>
  <si>
    <t>L4</t>
  </si>
  <si>
    <t>Deputy Res Rep Operations</t>
  </si>
  <si>
    <t>P4</t>
  </si>
  <si>
    <t>Programme Manager Governance</t>
  </si>
  <si>
    <t>NOD</t>
  </si>
  <si>
    <t>NOC</t>
  </si>
  <si>
    <t>Assistant Representative</t>
  </si>
  <si>
    <t>Programme Manager Poverty</t>
  </si>
  <si>
    <t>NOB</t>
  </si>
  <si>
    <t>Programme Associate</t>
  </si>
  <si>
    <t>Communication/Advocacy Analyst</t>
  </si>
  <si>
    <t>Human Resources Associate</t>
  </si>
  <si>
    <t>G7</t>
  </si>
  <si>
    <t>Finance Associate</t>
  </si>
  <si>
    <t>ICT Associate</t>
  </si>
  <si>
    <t>Security Associate</t>
  </si>
  <si>
    <t>G6</t>
  </si>
  <si>
    <t>Programme Finance Associate</t>
  </si>
  <si>
    <t>Executive Associate</t>
  </si>
  <si>
    <t>Finance Assistant</t>
  </si>
  <si>
    <t>G5</t>
  </si>
  <si>
    <t>Secretary</t>
  </si>
  <si>
    <t>Protocol and Logistics</t>
  </si>
  <si>
    <t>Travel Assistant</t>
  </si>
  <si>
    <t>Programme Assistant</t>
  </si>
  <si>
    <t>Executive Assistant</t>
  </si>
  <si>
    <t>G4</t>
  </si>
  <si>
    <t>Field Security Clerk</t>
  </si>
  <si>
    <t>G3</t>
  </si>
  <si>
    <t>Registry Clerk</t>
  </si>
  <si>
    <t>Driver Head of Office</t>
  </si>
  <si>
    <t>Driver</t>
  </si>
  <si>
    <t>G2</t>
  </si>
  <si>
    <t>NO2</t>
  </si>
  <si>
    <t>GS5</t>
  </si>
  <si>
    <t>GS4</t>
  </si>
  <si>
    <t>NO1</t>
  </si>
  <si>
    <t>P3</t>
  </si>
  <si>
    <t>Procurement Specialist</t>
  </si>
  <si>
    <t>Identify LTA</t>
  </si>
  <si>
    <t>Review Requisition</t>
  </si>
  <si>
    <t>Verify Details with Programme/Partner</t>
  </si>
  <si>
    <t>Receive Authorization of Requisition</t>
  </si>
  <si>
    <t>Send Purchase Order to Supplier</t>
  </si>
  <si>
    <t>Issue Deliver Notice</t>
  </si>
  <si>
    <t>Receive Deliver Notice (Request Release of Payment)</t>
  </si>
  <si>
    <t>Prepare CRC Submission</t>
  </si>
  <si>
    <t>Present to CRC</t>
  </si>
  <si>
    <t>Review Evaluation Report/Comparative Analysis Sheet</t>
  </si>
  <si>
    <t>Perform Budget Check</t>
  </si>
  <si>
    <t>Validate Requisition</t>
  </si>
  <si>
    <t>Supply and Logistics Manager (Head of Procurement)</t>
  </si>
  <si>
    <t>LTA</t>
  </si>
  <si>
    <t>Identify and Send RFQ to Vendors</t>
  </si>
  <si>
    <t>CRC Review  ( &gt; $20,000 USD)</t>
  </si>
  <si>
    <t>Procurement Activity</t>
  </si>
  <si>
    <t>Dispatch Purchase Order</t>
  </si>
  <si>
    <t>Budget Check</t>
  </si>
  <si>
    <t>Raise PO</t>
  </si>
  <si>
    <t>Procurement Review (&lt; $20,000 USD)</t>
  </si>
  <si>
    <t>Invitation to Bid</t>
  </si>
  <si>
    <t>Request for Proposals</t>
  </si>
  <si>
    <t>Request for Quotes</t>
  </si>
  <si>
    <t>Receive Requisition Authorization</t>
  </si>
  <si>
    <t>Min</t>
  </si>
  <si>
    <t>Avg</t>
  </si>
  <si>
    <t>Max</t>
  </si>
  <si>
    <t xml:space="preserve">Receive and Review Requisition and Determine Solicitation Method </t>
  </si>
  <si>
    <t>Open and Sign Offers</t>
  </si>
  <si>
    <t>Open and Sign Proposals</t>
  </si>
  <si>
    <t>Chair</t>
  </si>
  <si>
    <t>3 members</t>
  </si>
  <si>
    <t>Varying Levels</t>
  </si>
  <si>
    <t>CRC Members</t>
  </si>
  <si>
    <t>Levels</t>
  </si>
  <si>
    <t>Contact Eligible Suppliers</t>
  </si>
  <si>
    <t>Search Supplier Database</t>
  </si>
  <si>
    <t>Logistics and Procurement Assistant</t>
  </si>
  <si>
    <t>Administrative Assistant</t>
  </si>
  <si>
    <t>Operations Assistant</t>
  </si>
  <si>
    <t>Operations Officer</t>
  </si>
  <si>
    <t>Logistics Clerk</t>
  </si>
  <si>
    <t>Administrative Clerk</t>
  </si>
  <si>
    <t>Procurement Evaluation Committee</t>
  </si>
  <si>
    <t>FAOR</t>
  </si>
  <si>
    <t>AFAOR</t>
  </si>
  <si>
    <t>Operations Coordinator (NOO)</t>
  </si>
  <si>
    <t>NOA</t>
  </si>
  <si>
    <t>P-5</t>
  </si>
  <si>
    <t>Logistics Assistant</t>
  </si>
  <si>
    <t>Programme Focal Point (NO)</t>
  </si>
  <si>
    <t>(1.5-2 hours per week)</t>
  </si>
  <si>
    <t>Zandemela</t>
  </si>
  <si>
    <t>Assistant for FAO Representative (AFAOR)</t>
  </si>
  <si>
    <t>Travel &amp; Procurement Assistant</t>
  </si>
  <si>
    <t>NA</t>
  </si>
  <si>
    <t>CAP Team</t>
  </si>
  <si>
    <t>Send Purchase Order to Supplier and AFSP (if required)</t>
  </si>
  <si>
    <t>Send Supporting Documents and Payment Request to Finance</t>
  </si>
  <si>
    <t>Delivery Confirmation</t>
  </si>
  <si>
    <t>Verify or Make Selection</t>
  </si>
  <si>
    <t>Initiation (&lt; $5000 USD)</t>
  </si>
  <si>
    <t>Verify Goods Received (or Receive Goods)</t>
  </si>
  <si>
    <t>CAP Review (&gt;$30,000 USD)</t>
  </si>
  <si>
    <t>Create OPC note</t>
  </si>
  <si>
    <t>Prepare Assessement Sheet</t>
  </si>
  <si>
    <t>Recommend Vendor</t>
  </si>
  <si>
    <t>Certify Assessment Sheet</t>
  </si>
  <si>
    <t>Approve and Sign Recommendation</t>
  </si>
  <si>
    <t>Finance and Administrative Officer</t>
  </si>
  <si>
    <t>NFPCC Committee</t>
  </si>
  <si>
    <t>Evaluate and Approve Process, Proposal and Recommendation</t>
  </si>
  <si>
    <t>Raise Purchase Requisition</t>
  </si>
  <si>
    <t>Release Purchase Requisition</t>
  </si>
  <si>
    <t>Purchase Requisiton</t>
  </si>
  <si>
    <t>Purchase Requisition</t>
  </si>
  <si>
    <t>Non Food Purchase Contract Committee (&gt; $30K USD)</t>
  </si>
  <si>
    <t>Send Goods, DN and Invoice for Certification</t>
  </si>
  <si>
    <t>Create Goods Received Note</t>
  </si>
  <si>
    <t>Evaluate Offers</t>
  </si>
  <si>
    <t>Purchases less than $5,000 USD</t>
  </si>
  <si>
    <t>Create Assessment Sheet</t>
  </si>
  <si>
    <t>Find Vendors (3 minimum)</t>
  </si>
  <si>
    <t>Review Requisition Documents</t>
  </si>
  <si>
    <t>Provide Recommendation</t>
  </si>
  <si>
    <t>Approve Recommendation</t>
  </si>
  <si>
    <t>Purchases less than $200 USD</t>
  </si>
  <si>
    <t>Approve Petty Cash</t>
  </si>
  <si>
    <t>Receive and Forward Invoice to Internal Unit</t>
  </si>
  <si>
    <t>Deliver Certified Notice to Treasury</t>
  </si>
  <si>
    <t>UNICEF</t>
  </si>
  <si>
    <t>FAO</t>
  </si>
  <si>
    <t>UNDP</t>
  </si>
  <si>
    <t>WFP</t>
  </si>
  <si>
    <t>* 1 hour per week</t>
  </si>
  <si>
    <t>Evaluation Committee (Supply Section)</t>
  </si>
  <si>
    <t>1 Supply professional</t>
  </si>
  <si>
    <t>2 witnesses (varying levels)</t>
  </si>
  <si>
    <t xml:space="preserve">Evaluation Committee </t>
  </si>
  <si>
    <t>Procurement professional</t>
  </si>
  <si>
    <t>Administrative professional</t>
  </si>
  <si>
    <t>* meet as needed</t>
  </si>
  <si>
    <t>UNIDO 482</t>
  </si>
  <si>
    <t>* meet every two weeks for one hour</t>
  </si>
  <si>
    <t>Opening Panel Committee</t>
  </si>
  <si>
    <t>Receiving Officer (receptionist)</t>
  </si>
  <si>
    <t>Moderator (FAO)</t>
  </si>
  <si>
    <t>NFPCC</t>
  </si>
  <si>
    <t>Two witnesses</t>
  </si>
  <si>
    <t>FAO (non-voting member)</t>
  </si>
  <si>
    <t>Procurement Assistant (Secretary)</t>
  </si>
  <si>
    <t>Procurement Officer/Procurement Assistant</t>
  </si>
  <si>
    <t>Supply Assistant</t>
  </si>
  <si>
    <t>As-Is</t>
  </si>
  <si>
    <t>Representative/Deputy Represenative/Chief of Program</t>
  </si>
  <si>
    <t>Approve Requisition</t>
  </si>
  <si>
    <t>Senior Administrative Assistant</t>
  </si>
  <si>
    <t>Supervisor</t>
  </si>
  <si>
    <t>Abdul</t>
  </si>
  <si>
    <t>Salle</t>
  </si>
  <si>
    <t>Clearing</t>
  </si>
  <si>
    <t xml:space="preserve">Filomena </t>
  </si>
  <si>
    <t>Procurement Authority</t>
  </si>
  <si>
    <t>Procurement falls under Finance and Administration</t>
  </si>
  <si>
    <t>Total Cost</t>
  </si>
  <si>
    <t>D1, D2</t>
  </si>
  <si>
    <t>P4, P5, L4</t>
  </si>
  <si>
    <t>NOB, NOC, NOD</t>
  </si>
  <si>
    <t>G4-G7</t>
  </si>
  <si>
    <t>General Service Staff</t>
  </si>
  <si>
    <t>National Officers</t>
  </si>
  <si>
    <t>International Fixed Term Staff</t>
  </si>
  <si>
    <t>D - Level International Fixed Term Staff</t>
  </si>
  <si>
    <t>Staff Members</t>
  </si>
  <si>
    <t>Administrative Expense *</t>
  </si>
  <si>
    <t>* Note: As percent of proforma staff cost</t>
  </si>
  <si>
    <t>General Service Staff (Below G4)</t>
  </si>
  <si>
    <t>G2-G3</t>
  </si>
  <si>
    <t>Assumptions:</t>
  </si>
  <si>
    <t>Staff work on average 44 (220 days) weeks per year. This figure accounts for 6 weeks (30 days) for vacation and sick days and 2 weeks (10 days) for UN holidays.</t>
  </si>
  <si>
    <t>Cost/Minute</t>
  </si>
  <si>
    <t>Admin Expense</t>
  </si>
  <si>
    <t xml:space="preserve">A typical work week is 37.5 hours. </t>
  </si>
  <si>
    <t>Receive and Sort Bids</t>
  </si>
  <si>
    <t>Procurement Review Committee</t>
  </si>
  <si>
    <t>Receive and Review Documentation</t>
  </si>
  <si>
    <t>Prepare PRC Submission</t>
  </si>
  <si>
    <t>Procurement Review Committee (PRC)</t>
  </si>
  <si>
    <t>Record Meeting Minutes/Report</t>
  </si>
  <si>
    <t>Solicitation Evaluation Committee</t>
  </si>
  <si>
    <t>PRC Secretary</t>
  </si>
  <si>
    <t>Review Requisition and Identify LTA</t>
  </si>
  <si>
    <t>Cost/Day</t>
  </si>
  <si>
    <t>Cost/Hour</t>
  </si>
  <si>
    <t>Cost</t>
  </si>
  <si>
    <t xml:space="preserve">CRC </t>
  </si>
  <si>
    <t>P5,P4, NO1, G5, G4</t>
  </si>
  <si>
    <t>G5, G4, NO1</t>
  </si>
  <si>
    <t>Get Contract Signed</t>
  </si>
  <si>
    <t>Get Purchase Order Approved</t>
  </si>
  <si>
    <t>Total</t>
  </si>
  <si>
    <t>Initiation</t>
  </si>
  <si>
    <t>Procurement Review (&lt; $20K)</t>
  </si>
  <si>
    <t>Procurement of Services</t>
  </si>
  <si>
    <t>CRC (&gt; $20K)</t>
  </si>
  <si>
    <t xml:space="preserve">Level </t>
  </si>
  <si>
    <t>Present Case to PRC</t>
  </si>
  <si>
    <t>PRC Committee</t>
  </si>
  <si>
    <t>Review Case</t>
  </si>
  <si>
    <t>High Value Procurement Evaluation Committee</t>
  </si>
  <si>
    <t>Review Case and Recommend Vendor</t>
  </si>
  <si>
    <t>HV-PEC Committee</t>
  </si>
  <si>
    <t>GS-6</t>
  </si>
  <si>
    <t>L-4</t>
  </si>
  <si>
    <t>L-3</t>
  </si>
  <si>
    <t>NO-2</t>
  </si>
  <si>
    <t>NO-1</t>
  </si>
  <si>
    <t>GS-7</t>
  </si>
  <si>
    <t>Procurement Specialist (One UN)</t>
  </si>
  <si>
    <t>MOZ02</t>
  </si>
  <si>
    <t>Supply &amp; Procurement Spec</t>
  </si>
  <si>
    <t>Logistics Officer</t>
  </si>
  <si>
    <t>Sr. Logistics Assistant</t>
  </si>
  <si>
    <t xml:space="preserve">Procurement Asst </t>
  </si>
  <si>
    <t>MOZ25</t>
  </si>
  <si>
    <t>Shipping Asst</t>
  </si>
  <si>
    <t>GS-4</t>
  </si>
  <si>
    <t>IMIS#</t>
  </si>
  <si>
    <t>UNICEF SUPPLY &amp; LOGISTICS</t>
  </si>
  <si>
    <t>P5, NOC, NOA, G5, NOA</t>
  </si>
  <si>
    <t>Sub-Processes</t>
  </si>
  <si>
    <t>Agency</t>
  </si>
  <si>
    <t xml:space="preserve">To-Be </t>
  </si>
  <si>
    <t>Expected</t>
  </si>
  <si>
    <t>Savings (Avg.)</t>
  </si>
  <si>
    <t>Programme representative</t>
  </si>
  <si>
    <t>G6, G5, G5</t>
  </si>
  <si>
    <t>Time (minutes/person)</t>
  </si>
  <si>
    <t>NOC, G6, G5, G5, G5</t>
  </si>
  <si>
    <t>CAP (&gt;$30K)</t>
  </si>
  <si>
    <t>ACP (&gt;$100K)</t>
  </si>
  <si>
    <t>All</t>
  </si>
  <si>
    <t>P4, G7, G6, G5, G4</t>
  </si>
  <si>
    <t>P4, G7, G6, G5, G5, G4</t>
  </si>
  <si>
    <t>TO-BE PROCUREMENT PROCESS</t>
  </si>
  <si>
    <t>Time (min)</t>
  </si>
  <si>
    <t>NFPCC (&gt; $30K USD)</t>
  </si>
  <si>
    <t>As-Is Analysis (cost)</t>
  </si>
  <si>
    <t>As-Is Analysis (time)</t>
  </si>
  <si>
    <t>As-Is Analyis (activities)</t>
  </si>
  <si>
    <t>To-Be Analysis (time)</t>
  </si>
  <si>
    <t>To-Be Analysis (activities)</t>
  </si>
  <si>
    <t>Total Number of Activites</t>
  </si>
  <si>
    <t>Total Number of Activities</t>
  </si>
  <si>
    <t>To-Be Analysis (cost)</t>
  </si>
  <si>
    <t>Publish Advertisement</t>
  </si>
  <si>
    <t>RFQ</t>
  </si>
  <si>
    <t>ITB</t>
  </si>
  <si>
    <t>SCENARIO ANALYSIS</t>
  </si>
  <si>
    <t>RFP</t>
  </si>
  <si>
    <t>Good/Service</t>
  </si>
  <si>
    <t>Good</t>
  </si>
  <si>
    <t>Service</t>
  </si>
  <si>
    <t>Solicitation Method</t>
  </si>
  <si>
    <t xml:space="preserve">Good </t>
  </si>
  <si>
    <t>LTA exists</t>
  </si>
  <si>
    <t>TOTAL NUMBER OF ACTIVITIES</t>
  </si>
  <si>
    <t>G6, G6, G5</t>
  </si>
  <si>
    <t>NOC, G6, G6, G5, G5</t>
  </si>
  <si>
    <t>Averages</t>
  </si>
  <si>
    <t>Min_Avg</t>
  </si>
  <si>
    <t>Avg_Avg</t>
  </si>
  <si>
    <t>Max_Avg</t>
  </si>
  <si>
    <t>Cost (USD)</t>
  </si>
  <si>
    <t>PO against LTA</t>
  </si>
  <si>
    <t>Sum over all sub-processes</t>
  </si>
  <si>
    <t>0. Instructions</t>
  </si>
  <si>
    <t>Instructions on how to use the Excel table and the contents of the different sheets.</t>
  </si>
  <si>
    <t>1. Scenario overview</t>
  </si>
  <si>
    <t>Key results of the analysis, overview and comparison of the as-is and to-be procurement processes for each UN entity, weighted by high, average, and low scenarios. Also expected savings when moving from the as-is process to the to-be process are highlighted. You may want to select “hide” for each of the MIN and MAX columns in order to obtain an easier overview over the data.</t>
  </si>
  <si>
    <t>2. As-Is Analysis (cost)</t>
  </si>
  <si>
    <t>Costs of conducting the as-is procurement sub-processes for UNICEF, FAO, WFP and UNDP, based on data from sheets 9-12. This sheet merely summarizes some of the data from the sheets 9-12 by providing an overview of the costs for each to-be procurement sub-process. No data should be changed here. If at all required, changes should be done on the entity-specific as-is sheets, i.e. 9-12.</t>
  </si>
  <si>
    <t>3. As-Is Analysis (time)</t>
  </si>
  <si>
    <t>Time required for each procurement sub-process under the as-is procurement process for UNICEF, FAO, WFP and UNDP, based on data from sheets 9-12. See the explanations for sheet “6. To-Be Analysis (time)”, which are applicable analogously here. 9-12. No data should be changed here. If at all required, changes should be done on the entity-specific as-is sheets, i.e. 9-12.</t>
  </si>
  <si>
    <t>4. As-Is Analysis (activities)</t>
  </si>
  <si>
    <t>Number of activities for each procurement sub-process under the as-is procurement process of UNICEF, FAO, WFP and UNDP, based on data from sheets 9-12. No data should be changed here. If at all required, changes should be done on the entity-specific as-is sheets, i.e. 9-12.</t>
  </si>
  <si>
    <t>5. To-Be Analysis (cost)</t>
  </si>
  <si>
    <t>Costs of conducting the harmonized to-be procurement sub-processes for UNICEF, FAO, WFP and UNDP, based on data from sheet “8. To-Be Activity Costing”. This sheet merely summarizes some of the data from the sheet “8. To-Be Activity Costing” by providing an overview of the costs for each to-be procurement sub-process.</t>
  </si>
  <si>
    <t>6. To-Be Analysis (time)</t>
  </si>
  <si>
    <t>Time required for each procurement sub-process under the to-be harmonized procurement process for UNICEF, FAO, WFP and UNDP, based on data from sheet “8. To-Be Activity Costing”. You will notice differences between the different UN entities. Although the procurement process has been harmonized, each UN entity requires a different number of people to be present in the different steps. Compare, for instance, cell C5 (UNICEF) with F5 (FAO). The different numbers here derive from the fact that UNICEF involves three people in the step “Open and Sign offers” whereas FAO involved five people in the same step – see sheet 8. To-Be Activity Costing, cells D11, H11 and M11.</t>
  </si>
  <si>
    <t>7. To-Be Analysis (activities)</t>
  </si>
  <si>
    <t>Number of activities for each procurement sub-process under the to-be harmonized procurement process of UNICEF, FAO, WFP and UNDP, based on data from sheet “8. To-Be Activity Costing”. As you can see here, the number of activities for the different steps have been harmonized (they are the same for each UN entity) but there are still different steps of the process itself which are dependent on the respective UN entity (e.g. UNICEF does not submit to the HV PEC – line 9 – under the to-be harmonized procurement process).</t>
  </si>
  <si>
    <t>8. To-Be Activity Costing</t>
  </si>
  <si>
    <t>Detailed to-be costs of UNICEF, FAO, WFP and UNDP using the to-be harmonized procurement process and the pro-forma costs. This is one of the main data sheets from which data is drawn for the other to-be sheets.</t>
  </si>
  <si>
    <t>9. UNICEF (as-is)</t>
  </si>
  <si>
    <t>Detailed as-is UNICEF-specific costs of procurement activities and sub-processes.</t>
  </si>
  <si>
    <t>10. FAO (as-is)</t>
  </si>
  <si>
    <t>Detailed as-is FAO-specific costs of procurement activities and sub-processes.</t>
  </si>
  <si>
    <t>11. WFP (as-is)</t>
  </si>
  <si>
    <t>Detailed as-is WFP-specific costs of procurement activities and sub-processes.</t>
  </si>
  <si>
    <t>12. UNDP (as-is)</t>
  </si>
  <si>
    <t>Detailed as-is UNDP-specific costs of procurement activities and sub-processes.</t>
  </si>
  <si>
    <t>13. Pro-forma Costs</t>
  </si>
  <si>
    <t>Pro-forma costs are listed here for all relevant staff levels within a country. The costs can be entered in column D, with applicable administrative expenses to be updated in cells C57-C61. All other data is derived from these figures. The data in column I (“Cost/Minute”) is the basis for all time-based cost calculations within the workbook.</t>
  </si>
  <si>
    <t>14. Committees</t>
  </si>
  <si>
    <t>Notes on administrative information about the local procurement review bodies. This information is not directly used further in the analyses, but you may want to fill in your local information here for reference.</t>
  </si>
  <si>
    <t>Sheet</t>
  </si>
  <si>
    <t>Content</t>
  </si>
  <si>
    <t xml:space="preserve">Table of Contents </t>
  </si>
  <si>
    <t>1)</t>
  </si>
  <si>
    <t>2)</t>
  </si>
  <si>
    <t>3)</t>
  </si>
  <si>
    <t>4)</t>
  </si>
  <si>
    <t>Go to sheet 1. Scenario overview for a comparison of the as-is costs and time required for your organization for various procurement processes (RFQ, ITB, RFP and PO against LTA), possibly compared to the costs and time required for other UN entities. You may want to compare the as-is costs of your current processes to the cost and time required if the developed to-be harmonized procurement process were applied. Please pay particular attention to the difference between the as-is costs of your RFQ, ITB, and RFP processes to the as-is costs of your PO against LTA process. This shows how much internal costs and time could be saved when moving replacing repeated ITBs/RFPs with LTAs. All data will have been updated automatically.</t>
  </si>
  <si>
    <t>Instructions (experts)</t>
  </si>
  <si>
    <t>Changes in the numbers of people responsible for a certain activity also have an effect on sheet “3. As-Is Analysis (time)”. There, the time required for each procurement sub-process is calculated by adding the individual activities and multiplying the activities by the number of persons required to carry out an activity. Example: FAO’s average time required for an RFQ (sheet “3. As-Is Analysis (time)”, cell G8) is calculated by adding the times for the required activities in sheet “10. FAO (as-is)”, cells D27-D32. The activities in lines 30 and 32 require five people (compare cells G30 and G32). Therefore, the respective times are multiplied by 5 in cell G8 to calculate the overall time required for the sub-process RFQ. After having understood how this works, changing the respective cells to accommodate your needs should be straightforward.</t>
  </si>
  <si>
    <t>5)</t>
  </si>
  <si>
    <t>6)</t>
  </si>
  <si>
    <t>7)</t>
  </si>
  <si>
    <t>8)</t>
  </si>
  <si>
    <t>You should only change the analysis more substantially, if you possess a good knowledge of Excel, in particular knowledge about tracing dependencies in worksheets since there are many interconnections and dependencies between the various sheets in the workbook.</t>
  </si>
  <si>
    <t>In general, only cells highlighted in YELLOW should be changed. All other cells are protected. If you want to modify any sheet, you will need to unprotect the workbook. The password required to unprotect the workbook is “abc-procurement”.</t>
  </si>
  <si>
    <t>Average</t>
  </si>
  <si>
    <t>TIME (in minutes)</t>
  </si>
  <si>
    <t>COST (in USD)</t>
  </si>
  <si>
    <t>Review the "Guidelines for Harmonized UN Procurement at the Country Level for more detailed information about this tool.</t>
  </si>
  <si>
    <t>Go to the sheet “13. Pro-forma Costs” and update Column D with the relevant cost factors in your country. If at all required, you may change some of the existing lines to represent positions which are not yet included (e.g. P3 or P2 level officers)</t>
  </si>
  <si>
    <t>Go to the sheet with your organization’s name. Depending on the organization you work for, this is either sheet 9, 10, 11 or 12 and verify that the assumed times for the procurement activities reflect the situation in your organization (columns C, D, E). Note that there are values inserted for the average or most likely time required as well as for pessimistic (high) and optimistic (low) guesses. You may want to change these depending on your local situation but generally, these should be sound estimates.</t>
  </si>
  <si>
    <t>Additionally to the instructions for the STANDARD version, there are two other changes you may want to make to the Excel table: (a) Changing the as-is procurement processes by e.g. adding deleting sub-processes and activities; and (b) changing the responsibilities for certain activities or the composition of the procurement review committees. However, please note that it is unlikely that you would have change either of these, since the as-is analyses are based on the entity-specific procurement manuals, policies and procedures.</t>
  </si>
  <si>
    <t>For 5 (b) Go the entity-specific as-is sheet, i.e. 9, 10, 11, or 12. Column A indicates the sub-processes (e.g. “Purchases less than 5,000 USD”) and the activities involved in these (e.g. ITB, RFP etc.). Columns F and G indicate the person(s) responsible for conducting the activity and their respective grade level. Example: On sheet “9. UNICEF (as-is)” the activity “Open and Sign Offers” (line 11) is done by an Evaluation Committee (column F) composed of one G5, G4 and NO1 staff. Therefore, the minutes required for the activity are multiplied with *each* of the respective staff member’s pro-forma minute costs and then summarized (cells H11, I11, J11). Adding or removing staff members or changing their grade levels is straightforward: Simply change the elements of the sums in columns H, I and J. This data is used on other sheets of the tool automatically, see (a) above for an elaboration.</t>
  </si>
  <si>
    <t>For 5 (a) Go the entity-specific as-is sheet, i.e. 9, 10, 11, or 12. Column A indicates the sub-processes (e.g. “Purchases less than 5,000 USD”) and the activities involved in these (e.g. ITB, RFP etc.). If you want to remove any of these activities, the easiest way to do this is to set the values in columns C, D, and E to 0 minutes. If you would like to add activities, you could either increase the time required for a specific activity or insert a line to include a completely new activity. In that case, fill in columns C, D, and E with the time required, column G with the grade level of the person required and multiply time required with grade level data from the pro-forma staff costs. 
The partial sums, or total lines (e.g. lines 9, 18, 31 in the sheet “11. WFP (as-is)”), will get updated automatically. The partial sums feed directly into the entity-specific columns in sheet “2. As-is analysis (cost)” (e.g. for FAO columns F, G, H), where on overview of the costs of the sub-processes is presented. From there, the sheet “1. Scenario overview” is fed where the procurement processes are “assembled” by adding various sub-processes. You may wish to alter your as-is processes by re-assembling these. Example: UNDP’s as-is ITB process can be seen from cell F12. It consists of the sub-processes in cells J4, J6, J11, J16, and J17 in sheet “2. As-is analysis (cost)”. If you want to change UNDP’s as-is ITB process, simply add or remove elements from this sum in cell F12.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</si>
</sst>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_);[Red]\(&quot;$&quot;#,##0\)"/>
    <numFmt numFmtId="165" formatCode="&quot;$&quot;#,##0.00_);[Red]\(&quot;$&quot;#,##0.00\)"/>
    <numFmt numFmtId="166" formatCode="_(* #,##0_);_(* \(#,##0\);_(* &quot;-&quot;_);_(@_)"/>
    <numFmt numFmtId="167" formatCode="_(&quot;$&quot;* #,##0.00_);_(&quot;$&quot;* \(#,##0.00\);_(&quot;$&quot;* &quot;-&quot;??_);_(@_)"/>
    <numFmt numFmtId="168" formatCode="_(* #,##0.00_);_(* \(#,##0.00\);_(* &quot;-&quot;??_);_(@_)"/>
    <numFmt numFmtId="169" formatCode="_(* #,##0_);_(* \(#,##0\);_(* &quot;-&quot;??_);_(@_)"/>
    <numFmt numFmtId="170" formatCode="&quot;$&quot;#,##0"/>
  </numFmts>
  <fonts count="34" x14ac:knownFonts="1">
    <font>
      <sz val="11"/>
      <color theme="1"/>
      <name val="Calibri"/>
      <family val="2"/>
      <scheme val="minor"/>
    </font>
    <font>
      <b/>
      <sz val="11"/>
      <color theme="0"/>
      <name val="Calibri"/>
      <family val="2"/>
      <scheme val="minor"/>
    </font>
    <font>
      <sz val="10"/>
      <color theme="0"/>
      <name val="Calibri"/>
      <family val="2"/>
    </font>
    <font>
      <sz val="10"/>
      <color rgb="FF00B0F0"/>
      <name val="Calibri"/>
      <family val="2"/>
    </font>
    <font>
      <sz val="10"/>
      <name val="Calibri"/>
      <family val="2"/>
    </font>
    <font>
      <sz val="10"/>
      <color theme="1"/>
      <name val="Calibri"/>
      <family val="2"/>
    </font>
    <font>
      <b/>
      <sz val="10"/>
      <color theme="0"/>
      <name val="Calibri"/>
      <family val="2"/>
    </font>
    <font>
      <b/>
      <sz val="10"/>
      <color theme="1"/>
      <name val="Calibri"/>
      <family val="2"/>
      <scheme val="minor"/>
    </font>
    <font>
      <sz val="10"/>
      <color theme="1"/>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sz val="10"/>
      <color theme="0"/>
      <name val="Calibri"/>
      <family val="2"/>
      <scheme val="minor"/>
    </font>
    <font>
      <i/>
      <sz val="10"/>
      <color theme="1"/>
      <name val="Calibri"/>
      <family val="2"/>
      <scheme val="minor"/>
    </font>
    <font>
      <sz val="10"/>
      <color indexed="63"/>
      <name val="Calibri"/>
      <family val="2"/>
      <scheme val="minor"/>
    </font>
    <font>
      <b/>
      <i/>
      <sz val="10"/>
      <color indexed="63"/>
      <name val="Calibri"/>
      <family val="2"/>
      <scheme val="minor"/>
    </font>
    <font>
      <b/>
      <i/>
      <sz val="10"/>
      <color theme="1"/>
      <name val="Calibri"/>
      <family val="2"/>
      <scheme val="minor"/>
    </font>
    <font>
      <b/>
      <sz val="10"/>
      <name val="Calibri"/>
      <family val="2"/>
    </font>
    <font>
      <i/>
      <sz val="10"/>
      <name val="Calibri"/>
      <family val="2"/>
    </font>
    <font>
      <i/>
      <sz val="10"/>
      <color rgb="FF00B0F0"/>
      <name val="Calibri"/>
      <family val="2"/>
    </font>
    <font>
      <b/>
      <sz val="10"/>
      <color theme="1"/>
      <name val="Calibri"/>
      <family val="2"/>
    </font>
    <font>
      <b/>
      <sz val="8"/>
      <name val="Arial"/>
      <family val="2"/>
    </font>
    <font>
      <sz val="8"/>
      <name val="Arial"/>
      <family val="2"/>
    </font>
    <font>
      <b/>
      <sz val="8"/>
      <color indexed="10"/>
      <name val="Arial"/>
      <family val="2"/>
    </font>
    <font>
      <b/>
      <sz val="10"/>
      <color indexed="63"/>
      <name val="Calibri"/>
      <family val="2"/>
      <scheme val="minor"/>
    </font>
    <font>
      <b/>
      <i/>
      <sz val="10"/>
      <name val="Calibri"/>
      <family val="2"/>
    </font>
    <font>
      <b/>
      <i/>
      <sz val="10"/>
      <color theme="1"/>
      <name val="Calibri"/>
      <family val="2"/>
    </font>
    <font>
      <b/>
      <i/>
      <sz val="10"/>
      <color rgb="FF00B0F0"/>
      <name val="Calibri"/>
      <family val="2"/>
    </font>
    <font>
      <b/>
      <sz val="10"/>
      <name val="Calibri"/>
      <family val="2"/>
      <scheme val="minor"/>
    </font>
    <font>
      <sz val="10"/>
      <name val="Calibri"/>
      <family val="2"/>
      <scheme val="minor"/>
    </font>
    <font>
      <b/>
      <i/>
      <sz val="10"/>
      <color theme="3" tint="0.39997558519241921"/>
      <name val="Calibri"/>
      <family val="2"/>
      <scheme val="minor"/>
    </font>
    <font>
      <b/>
      <sz val="11"/>
      <color theme="1"/>
      <name val="Calibri"/>
      <family val="2"/>
      <scheme val="minor"/>
    </font>
    <font>
      <b/>
      <sz val="24"/>
      <color theme="1"/>
      <name val="Calibri"/>
      <family val="2"/>
      <scheme val="minor"/>
    </font>
    <font>
      <sz val="11"/>
      <color rgb="FFFF0000"/>
      <name val="Calibri"/>
      <family val="2"/>
      <scheme val="minor"/>
    </font>
  </fonts>
  <fills count="15">
    <fill>
      <patternFill patternType="none"/>
    </fill>
    <fill>
      <patternFill patternType="gray125"/>
    </fill>
    <fill>
      <patternFill patternType="solid">
        <fgColor rgb="FF00B0F0"/>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1"/>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8">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8" fontId="10" fillId="0" borderId="0" applyFont="0" applyFill="0" applyBorder="0" applyAlignment="0" applyProtection="0"/>
    <xf numFmtId="167" fontId="10" fillId="0" borderId="0" applyFont="0" applyFill="0" applyBorder="0" applyAlignment="0" applyProtection="0"/>
    <xf numFmtId="9" fontId="10" fillId="0" borderId="0" applyFont="0" applyFill="0" applyBorder="0" applyAlignment="0" applyProtection="0"/>
  </cellStyleXfs>
  <cellXfs count="406">
    <xf numFmtId="0" fontId="0" fillId="0" borderId="0" xfId="0"/>
    <xf numFmtId="0" fontId="8" fillId="0" borderId="0" xfId="0" applyFont="1"/>
    <xf numFmtId="0" fontId="8" fillId="0" borderId="0" xfId="0" applyFont="1" applyAlignment="1"/>
    <xf numFmtId="0" fontId="8" fillId="0" borderId="0" xfId="0" applyFont="1" applyAlignment="1">
      <alignment horizontal="center"/>
    </xf>
    <xf numFmtId="0" fontId="8" fillId="0" borderId="3" xfId="0" applyFont="1" applyBorder="1"/>
    <xf numFmtId="0" fontId="8" fillId="0" borderId="4" xfId="0" applyFont="1" applyBorder="1"/>
    <xf numFmtId="0" fontId="8" fillId="0" borderId="5" xfId="0" applyFont="1" applyBorder="1"/>
    <xf numFmtId="0" fontId="8" fillId="0" borderId="6" xfId="0" applyFont="1" applyBorder="1"/>
    <xf numFmtId="0" fontId="8" fillId="0" borderId="0" xfId="0" applyFont="1" applyBorder="1"/>
    <xf numFmtId="0" fontId="8" fillId="0" borderId="0" xfId="0" applyFont="1" applyBorder="1" applyAlignment="1">
      <alignment horizontal="center"/>
    </xf>
    <xf numFmtId="0" fontId="8" fillId="0" borderId="7" xfId="0" applyFont="1" applyBorder="1"/>
    <xf numFmtId="0" fontId="8" fillId="0" borderId="8" xfId="0" applyFont="1" applyBorder="1"/>
    <xf numFmtId="0" fontId="8" fillId="0" borderId="9" xfId="0" applyFont="1" applyBorder="1"/>
    <xf numFmtId="0" fontId="8" fillId="0" borderId="9" xfId="0" applyFont="1" applyBorder="1" applyAlignment="1">
      <alignment horizontal="center"/>
    </xf>
    <xf numFmtId="0" fontId="8" fillId="0" borderId="10" xfId="0" applyFont="1" applyBorder="1"/>
    <xf numFmtId="0" fontId="8" fillId="3" borderId="11" xfId="0" applyFont="1" applyFill="1" applyBorder="1"/>
    <xf numFmtId="0" fontId="8" fillId="3" borderId="12" xfId="0" applyFont="1" applyFill="1" applyBorder="1"/>
    <xf numFmtId="0" fontId="8" fillId="3" borderId="12" xfId="0" applyFont="1" applyFill="1" applyBorder="1" applyAlignment="1">
      <alignment horizontal="center"/>
    </xf>
    <xf numFmtId="0" fontId="8" fillId="3" borderId="13" xfId="0" applyFont="1" applyFill="1" applyBorder="1"/>
    <xf numFmtId="0" fontId="7" fillId="3" borderId="11" xfId="0" applyFont="1" applyFill="1" applyBorder="1"/>
    <xf numFmtId="0" fontId="7" fillId="3" borderId="13" xfId="0" applyFont="1" applyFill="1" applyBorder="1"/>
    <xf numFmtId="0" fontId="9" fillId="2" borderId="1" xfId="0" applyFont="1" applyFill="1" applyBorder="1" applyAlignment="1">
      <alignment horizontal="center"/>
    </xf>
    <xf numFmtId="0" fontId="9" fillId="2" borderId="1" xfId="0" applyFont="1" applyFill="1" applyBorder="1"/>
    <xf numFmtId="0" fontId="7" fillId="0" borderId="0" xfId="0" applyFont="1"/>
    <xf numFmtId="0" fontId="8" fillId="0" borderId="0" xfId="0" applyFont="1" applyAlignment="1">
      <alignment horizontal="left"/>
    </xf>
    <xf numFmtId="0" fontId="8" fillId="3" borderId="12" xfId="0" applyFont="1" applyFill="1" applyBorder="1" applyAlignment="1"/>
    <xf numFmtId="0" fontId="8" fillId="0" borderId="0" xfId="0" applyFont="1" applyBorder="1" applyAlignment="1"/>
    <xf numFmtId="0" fontId="8" fillId="0" borderId="9" xfId="0" applyFont="1" applyBorder="1" applyAlignment="1"/>
    <xf numFmtId="0" fontId="8" fillId="3" borderId="13" xfId="0" applyFont="1" applyFill="1" applyBorder="1" applyAlignment="1"/>
    <xf numFmtId="0" fontId="8" fillId="0" borderId="7" xfId="0" applyFont="1" applyBorder="1" applyAlignment="1"/>
    <xf numFmtId="0" fontId="8" fillId="0" borderId="10" xfId="0" applyFont="1" applyBorder="1" applyAlignment="1"/>
    <xf numFmtId="0" fontId="8" fillId="0" borderId="0" xfId="0" applyFont="1" applyFill="1"/>
    <xf numFmtId="0" fontId="8" fillId="0" borderId="4" xfId="0" applyFont="1" applyBorder="1" applyAlignment="1"/>
    <xf numFmtId="0" fontId="8" fillId="0" borderId="7" xfId="0" applyFont="1" applyBorder="1" applyAlignment="1">
      <alignment horizontal="left"/>
    </xf>
    <xf numFmtId="0" fontId="8" fillId="0" borderId="10" xfId="0" applyFont="1" applyBorder="1" applyAlignment="1">
      <alignment horizontal="left"/>
    </xf>
    <xf numFmtId="0" fontId="8" fillId="3" borderId="13" xfId="0" applyFont="1" applyFill="1" applyBorder="1" applyAlignment="1">
      <alignment horizontal="left"/>
    </xf>
    <xf numFmtId="0" fontId="8" fillId="0" borderId="0" xfId="0" applyFont="1" applyBorder="1" applyAlignment="1">
      <alignment horizontal="left"/>
    </xf>
    <xf numFmtId="0" fontId="12" fillId="4" borderId="0" xfId="0" applyFont="1" applyFill="1"/>
    <xf numFmtId="0" fontId="13" fillId="0" borderId="0" xfId="0" applyFont="1"/>
    <xf numFmtId="0" fontId="14" fillId="0" borderId="0" xfId="0" applyFont="1" applyAlignment="1">
      <alignment horizontal="center" wrapText="1"/>
    </xf>
    <xf numFmtId="0" fontId="14" fillId="0" borderId="0" xfId="0" applyFont="1" applyBorder="1" applyAlignment="1">
      <alignment horizontal="center" wrapText="1"/>
    </xf>
    <xf numFmtId="164" fontId="8" fillId="0" borderId="0" xfId="0" applyNumberFormat="1" applyFont="1" applyAlignment="1">
      <alignment horizontal="center"/>
    </xf>
    <xf numFmtId="164" fontId="8" fillId="0" borderId="0" xfId="2" applyNumberFormat="1" applyFont="1" applyAlignment="1">
      <alignment horizontal="center"/>
    </xf>
    <xf numFmtId="0" fontId="13" fillId="0" borderId="0" xfId="0" applyFont="1" applyAlignment="1">
      <alignment horizontal="center"/>
    </xf>
    <xf numFmtId="0" fontId="15" fillId="0" borderId="0" xfId="0" applyFont="1" applyAlignment="1">
      <alignment wrapText="1"/>
    </xf>
    <xf numFmtId="0" fontId="16" fillId="0" borderId="0" xfId="0" applyFont="1"/>
    <xf numFmtId="0" fontId="3" fillId="0" borderId="0" xfId="0" applyFont="1" applyFill="1" applyBorder="1"/>
    <xf numFmtId="0" fontId="2" fillId="0" borderId="0" xfId="0" applyFont="1" applyFill="1" applyBorder="1"/>
    <xf numFmtId="0" fontId="4" fillId="0" borderId="0" xfId="0" applyFont="1" applyFill="1" applyBorder="1"/>
    <xf numFmtId="0" fontId="4" fillId="0" borderId="0" xfId="0" applyFont="1" applyFill="1" applyBorder="1" applyAlignment="1">
      <alignment horizontal="center"/>
    </xf>
    <xf numFmtId="1" fontId="4" fillId="0" borderId="0" xfId="0" applyNumberFormat="1" applyFont="1" applyFill="1" applyBorder="1" applyAlignment="1">
      <alignment horizontal="center" vertical="center"/>
    </xf>
    <xf numFmtId="0" fontId="5" fillId="0" borderId="0" xfId="0" applyFont="1" applyFill="1" applyBorder="1"/>
    <xf numFmtId="0" fontId="3" fillId="4" borderId="0" xfId="0" applyFont="1" applyFill="1" applyBorder="1"/>
    <xf numFmtId="0" fontId="6" fillId="4" borderId="0" xfId="0" applyFont="1" applyFill="1" applyBorder="1" applyAlignment="1">
      <alignment horizontal="center" vertical="center" wrapText="1"/>
    </xf>
    <xf numFmtId="0" fontId="2" fillId="4" borderId="0" xfId="0" applyFont="1" applyFill="1" applyBorder="1"/>
    <xf numFmtId="1" fontId="6" fillId="4" borderId="0" xfId="0" applyNumberFormat="1" applyFont="1" applyFill="1" applyBorder="1" applyAlignment="1">
      <alignment horizontal="center" vertical="center" wrapText="1"/>
    </xf>
    <xf numFmtId="0" fontId="6" fillId="4" borderId="0" xfId="0" applyFont="1" applyFill="1" applyBorder="1" applyAlignment="1">
      <alignment horizontal="center"/>
    </xf>
    <xf numFmtId="0" fontId="6" fillId="4" borderId="0" xfId="0" applyFont="1" applyFill="1" applyBorder="1"/>
    <xf numFmtId="0" fontId="5" fillId="0" borderId="0" xfId="0" applyFont="1" applyFill="1" applyBorder="1" applyAlignment="1">
      <alignment horizontal="center"/>
    </xf>
    <xf numFmtId="1" fontId="5"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5" fillId="0" borderId="20" xfId="0" applyFont="1" applyFill="1" applyBorder="1"/>
    <xf numFmtId="0" fontId="4" fillId="0" borderId="20" xfId="0" applyFont="1" applyFill="1" applyBorder="1" applyAlignment="1">
      <alignment horizontal="center"/>
    </xf>
    <xf numFmtId="1" fontId="4" fillId="0" borderId="20" xfId="0" applyNumberFormat="1" applyFont="1" applyFill="1" applyBorder="1" applyAlignment="1">
      <alignment horizontal="center" vertical="center"/>
    </xf>
    <xf numFmtId="0" fontId="5" fillId="0" borderId="20" xfId="0" applyFont="1" applyFill="1" applyBorder="1" applyAlignment="1">
      <alignment horizontal="center"/>
    </xf>
    <xf numFmtId="0" fontId="18" fillId="0" borderId="0" xfId="0" applyFont="1" applyFill="1" applyBorder="1" applyAlignment="1">
      <alignment horizontal="center"/>
    </xf>
    <xf numFmtId="1" fontId="18" fillId="0" borderId="0" xfId="0" applyNumberFormat="1" applyFont="1" applyFill="1" applyBorder="1" applyAlignment="1">
      <alignment horizontal="center" vertical="center"/>
    </xf>
    <xf numFmtId="0" fontId="5" fillId="0" borderId="2" xfId="0" applyFont="1" applyFill="1" applyBorder="1"/>
    <xf numFmtId="0" fontId="4" fillId="0" borderId="2" xfId="0" applyFont="1" applyFill="1" applyBorder="1" applyAlignment="1">
      <alignment horizontal="center"/>
    </xf>
    <xf numFmtId="1" fontId="4" fillId="0" borderId="2" xfId="0" applyNumberFormat="1" applyFont="1" applyFill="1" applyBorder="1" applyAlignment="1">
      <alignment horizontal="center" vertical="center"/>
    </xf>
    <xf numFmtId="0" fontId="5" fillId="0" borderId="2" xfId="0" applyFont="1" applyFill="1" applyBorder="1" applyAlignment="1">
      <alignment horizontal="center"/>
    </xf>
    <xf numFmtId="0" fontId="4" fillId="0" borderId="2" xfId="0" applyFont="1" applyFill="1" applyBorder="1"/>
    <xf numFmtId="0" fontId="4" fillId="0" borderId="20" xfId="0" applyFont="1" applyFill="1" applyBorder="1"/>
    <xf numFmtId="0" fontId="18" fillId="0" borderId="0" xfId="0" applyFont="1" applyFill="1" applyBorder="1"/>
    <xf numFmtId="0" fontId="19" fillId="0" borderId="0" xfId="0" applyFont="1" applyFill="1" applyBorder="1"/>
    <xf numFmtId="0" fontId="20" fillId="0" borderId="0" xfId="0" applyFont="1" applyFill="1" applyBorder="1"/>
    <xf numFmtId="0" fontId="4" fillId="0" borderId="21" xfId="0" applyFont="1" applyFill="1" applyBorder="1"/>
    <xf numFmtId="0" fontId="4" fillId="0" borderId="21" xfId="0" applyFont="1" applyFill="1" applyBorder="1" applyAlignment="1">
      <alignment horizontal="center"/>
    </xf>
    <xf numFmtId="1" fontId="4" fillId="0" borderId="21" xfId="0" applyNumberFormat="1" applyFont="1" applyFill="1" applyBorder="1" applyAlignment="1">
      <alignment horizontal="center" vertical="center"/>
    </xf>
    <xf numFmtId="0" fontId="19" fillId="0" borderId="0" xfId="0" applyFont="1" applyFill="1" applyBorder="1" applyAlignment="1">
      <alignment horizontal="center"/>
    </xf>
    <xf numFmtId="0" fontId="21"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centerContinuous" vertical="center"/>
    </xf>
    <xf numFmtId="166" fontId="22" fillId="0" borderId="0" xfId="0" applyNumberFormat="1" applyFont="1" applyAlignment="1">
      <alignment horizontal="centerContinuous" vertical="center"/>
    </xf>
    <xf numFmtId="166" fontId="23" fillId="0" borderId="0" xfId="0" applyNumberFormat="1" applyFont="1" applyAlignment="1">
      <alignment horizontal="centerContinuous" vertical="center"/>
    </xf>
    <xf numFmtId="0" fontId="22" fillId="0" borderId="0" xfId="0" applyFont="1" applyFill="1"/>
    <xf numFmtId="0" fontId="23" fillId="0" borderId="0" xfId="0" applyFont="1"/>
    <xf numFmtId="0" fontId="21" fillId="0" borderId="0" xfId="0" applyNumberFormat="1" applyFont="1" applyFill="1" applyBorder="1" applyAlignment="1"/>
    <xf numFmtId="0" fontId="22" fillId="0" borderId="0" xfId="0" applyFont="1"/>
    <xf numFmtId="0" fontId="8" fillId="0" borderId="0" xfId="0" applyFont="1" applyFill="1" applyAlignment="1">
      <alignment horizontal="center"/>
    </xf>
    <xf numFmtId="0" fontId="8" fillId="0" borderId="0" xfId="0" applyFont="1" applyFill="1" applyBorder="1"/>
    <xf numFmtId="0" fontId="21" fillId="0" borderId="0" xfId="0" applyFont="1" applyFill="1" applyBorder="1" applyAlignment="1">
      <alignment horizontal="left" vertical="center" wrapText="1"/>
    </xf>
    <xf numFmtId="0" fontId="9" fillId="4" borderId="0" xfId="0" applyFont="1" applyFill="1" applyAlignment="1">
      <alignment horizontal="center"/>
    </xf>
    <xf numFmtId="0" fontId="24" fillId="0" borderId="0" xfId="0" applyFont="1" applyAlignment="1">
      <alignment wrapText="1"/>
    </xf>
    <xf numFmtId="0" fontId="9" fillId="4" borderId="0" xfId="0" applyFont="1" applyFill="1" applyBorder="1" applyAlignment="1">
      <alignment horizontal="center"/>
    </xf>
    <xf numFmtId="0" fontId="7" fillId="0" borderId="0" xfId="0" applyFont="1" applyBorder="1"/>
    <xf numFmtId="164" fontId="8" fillId="0" borderId="0" xfId="0" applyNumberFormat="1" applyFont="1" applyBorder="1" applyAlignment="1">
      <alignment horizontal="center"/>
    </xf>
    <xf numFmtId="164" fontId="8" fillId="0" borderId="0" xfId="2" applyNumberFormat="1" applyFont="1" applyBorder="1" applyAlignment="1">
      <alignment horizontal="center"/>
    </xf>
    <xf numFmtId="165" fontId="8" fillId="0" borderId="0" xfId="0" applyNumberFormat="1" applyFont="1" applyBorder="1" applyAlignment="1">
      <alignment horizontal="center"/>
    </xf>
    <xf numFmtId="0" fontId="22" fillId="0" borderId="0" xfId="0" applyNumberFormat="1" applyFont="1" applyFill="1" applyBorder="1" applyAlignment="1">
      <alignment horizontal="center"/>
    </xf>
    <xf numFmtId="169" fontId="22" fillId="0" borderId="0" xfId="1" applyNumberFormat="1" applyFont="1" applyFill="1" applyBorder="1" applyAlignment="1">
      <alignment horizontal="center"/>
    </xf>
    <xf numFmtId="166" fontId="22" fillId="0" borderId="0" xfId="0" quotePrefix="1" applyNumberFormat="1" applyFont="1" applyFill="1" applyBorder="1" applyAlignment="1">
      <alignment horizontal="center"/>
    </xf>
    <xf numFmtId="0" fontId="22" fillId="0" borderId="0" xfId="0" applyFont="1" applyFill="1" applyBorder="1" applyAlignment="1">
      <alignment horizontal="center" vertical="center" wrapText="1"/>
    </xf>
    <xf numFmtId="169" fontId="22" fillId="0" borderId="0" xfId="1" applyNumberFormat="1" applyFont="1" applyFill="1" applyBorder="1" applyAlignment="1"/>
    <xf numFmtId="0" fontId="9" fillId="4" borderId="2" xfId="0" applyFont="1" applyFill="1" applyBorder="1" applyAlignment="1">
      <alignment horizontal="center"/>
    </xf>
    <xf numFmtId="0" fontId="21" fillId="0" borderId="20" xfId="0" applyFont="1" applyFill="1" applyBorder="1" applyAlignment="1">
      <alignment horizontal="left" vertical="center" wrapText="1"/>
    </xf>
    <xf numFmtId="0" fontId="22" fillId="0" borderId="20" xfId="0" applyFont="1" applyFill="1" applyBorder="1" applyAlignment="1">
      <alignment horizontal="center" vertical="center" wrapText="1"/>
    </xf>
    <xf numFmtId="169" fontId="22" fillId="0" borderId="20" xfId="1" applyNumberFormat="1" applyFont="1" applyFill="1" applyBorder="1" applyAlignment="1">
      <alignment horizontal="left" vertical="center"/>
    </xf>
    <xf numFmtId="164" fontId="8" fillId="0" borderId="20" xfId="0" applyNumberFormat="1" applyFont="1" applyBorder="1" applyAlignment="1">
      <alignment horizontal="center"/>
    </xf>
    <xf numFmtId="164" fontId="8" fillId="0" borderId="20" xfId="2" applyNumberFormat="1" applyFont="1" applyBorder="1" applyAlignment="1">
      <alignment horizontal="center"/>
    </xf>
    <xf numFmtId="165" fontId="8" fillId="0" borderId="20" xfId="0" applyNumberFormat="1" applyFont="1" applyBorder="1" applyAlignment="1">
      <alignment horizontal="center"/>
    </xf>
    <xf numFmtId="0"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164" fontId="5" fillId="0" borderId="0" xfId="2" applyNumberFormat="1" applyFont="1" applyFill="1" applyBorder="1" applyAlignment="1">
      <alignment horizontal="center"/>
    </xf>
    <xf numFmtId="0" fontId="20" fillId="0" borderId="2" xfId="0" applyFont="1" applyFill="1" applyBorder="1"/>
    <xf numFmtId="164" fontId="5" fillId="0" borderId="2" xfId="0" applyNumberFormat="1" applyFont="1" applyFill="1" applyBorder="1" applyAlignment="1">
      <alignment horizontal="center"/>
    </xf>
    <xf numFmtId="0" fontId="5" fillId="0" borderId="2" xfId="0" applyNumberFormat="1" applyFont="1" applyFill="1" applyBorder="1" applyAlignment="1">
      <alignment horizontal="center"/>
    </xf>
    <xf numFmtId="0" fontId="20" fillId="0" borderId="20" xfId="0" applyFont="1" applyFill="1" applyBorder="1"/>
    <xf numFmtId="164" fontId="5" fillId="0" borderId="20" xfId="0" applyNumberFormat="1" applyFont="1" applyFill="1" applyBorder="1" applyAlignment="1">
      <alignment horizontal="center"/>
    </xf>
    <xf numFmtId="0" fontId="5" fillId="0" borderId="0" xfId="2" applyNumberFormat="1" applyFont="1" applyFill="1" applyBorder="1" applyAlignment="1">
      <alignment horizontal="center"/>
    </xf>
    <xf numFmtId="0" fontId="5" fillId="0" borderId="20" xfId="0" applyNumberFormat="1" applyFont="1" applyFill="1" applyBorder="1" applyAlignment="1">
      <alignment horizontal="center"/>
    </xf>
    <xf numFmtId="164" fontId="5" fillId="0" borderId="15" xfId="0" applyNumberFormat="1" applyFont="1" applyFill="1" applyBorder="1" applyAlignment="1">
      <alignment horizontal="center"/>
    </xf>
    <xf numFmtId="164" fontId="5" fillId="0" borderId="19" xfId="0" applyNumberFormat="1" applyFont="1" applyFill="1" applyBorder="1" applyAlignment="1">
      <alignment horizontal="center"/>
    </xf>
    <xf numFmtId="164" fontId="5" fillId="0" borderId="19" xfId="2" applyNumberFormat="1" applyFont="1" applyFill="1" applyBorder="1" applyAlignment="1">
      <alignment horizontal="center"/>
    </xf>
    <xf numFmtId="164" fontId="5" fillId="0" borderId="22" xfId="0" applyNumberFormat="1" applyFont="1" applyFill="1" applyBorder="1" applyAlignment="1">
      <alignment horizontal="center"/>
    </xf>
    <xf numFmtId="164" fontId="5" fillId="0" borderId="14" xfId="0" applyNumberFormat="1" applyFont="1" applyFill="1" applyBorder="1" applyAlignment="1">
      <alignment horizontal="center"/>
    </xf>
    <xf numFmtId="164" fontId="5" fillId="0" borderId="18" xfId="0" applyNumberFormat="1" applyFont="1" applyFill="1" applyBorder="1" applyAlignment="1">
      <alignment horizontal="center"/>
    </xf>
    <xf numFmtId="164" fontId="5" fillId="0" borderId="18" xfId="2" applyNumberFormat="1" applyFont="1" applyFill="1" applyBorder="1" applyAlignment="1">
      <alignment horizontal="center"/>
    </xf>
    <xf numFmtId="164" fontId="5" fillId="0" borderId="23" xfId="0" applyNumberFormat="1" applyFont="1" applyFill="1" applyBorder="1" applyAlignment="1">
      <alignment horizontal="center"/>
    </xf>
    <xf numFmtId="0" fontId="5" fillId="0" borderId="14" xfId="0" applyNumberFormat="1" applyFont="1" applyFill="1" applyBorder="1" applyAlignment="1">
      <alignment horizontal="center"/>
    </xf>
    <xf numFmtId="0" fontId="5" fillId="0" borderId="15" xfId="0" applyNumberFormat="1" applyFont="1" applyFill="1" applyBorder="1" applyAlignment="1">
      <alignment horizontal="center"/>
    </xf>
    <xf numFmtId="0" fontId="5" fillId="0" borderId="18" xfId="0" applyNumberFormat="1" applyFont="1" applyFill="1" applyBorder="1" applyAlignment="1">
      <alignment horizontal="center"/>
    </xf>
    <xf numFmtId="0" fontId="5" fillId="0" borderId="19" xfId="0" applyNumberFormat="1" applyFont="1" applyFill="1" applyBorder="1" applyAlignment="1">
      <alignment horizontal="center"/>
    </xf>
    <xf numFmtId="0" fontId="5" fillId="0" borderId="18" xfId="2" applyNumberFormat="1" applyFont="1" applyFill="1" applyBorder="1" applyAlignment="1">
      <alignment horizontal="center"/>
    </xf>
    <xf numFmtId="0" fontId="5" fillId="0" borderId="19" xfId="2" applyNumberFormat="1" applyFont="1" applyFill="1" applyBorder="1" applyAlignment="1">
      <alignment horizontal="center"/>
    </xf>
    <xf numFmtId="0" fontId="5" fillId="0" borderId="23" xfId="0" applyNumberFormat="1" applyFont="1" applyFill="1" applyBorder="1" applyAlignment="1">
      <alignment horizontal="center"/>
    </xf>
    <xf numFmtId="0" fontId="5" fillId="0" borderId="22" xfId="0" applyNumberFormat="1" applyFont="1" applyFill="1" applyBorder="1" applyAlignment="1">
      <alignment horizontal="center"/>
    </xf>
    <xf numFmtId="0" fontId="20" fillId="0" borderId="15" xfId="0" applyFont="1" applyFill="1" applyBorder="1"/>
    <xf numFmtId="0" fontId="20" fillId="0" borderId="19" xfId="0" applyFont="1" applyFill="1" applyBorder="1"/>
    <xf numFmtId="0" fontId="20" fillId="0" borderId="22" xfId="0" applyFont="1" applyFill="1" applyBorder="1"/>
    <xf numFmtId="164" fontId="4" fillId="0" borderId="2" xfId="0" applyNumberFormat="1" applyFont="1" applyFill="1" applyBorder="1" applyAlignment="1">
      <alignment horizontal="center"/>
    </xf>
    <xf numFmtId="164" fontId="4" fillId="0" borderId="0" xfId="0" applyNumberFormat="1" applyFont="1" applyFill="1" applyBorder="1" applyAlignment="1">
      <alignment horizontal="center"/>
    </xf>
    <xf numFmtId="164" fontId="4" fillId="0" borderId="20" xfId="0" applyNumberFormat="1" applyFont="1" applyFill="1" applyBorder="1" applyAlignment="1">
      <alignment horizontal="center"/>
    </xf>
    <xf numFmtId="164" fontId="5" fillId="0" borderId="20" xfId="2" applyNumberFormat="1" applyFont="1" applyFill="1" applyBorder="1" applyAlignment="1">
      <alignment horizontal="center"/>
    </xf>
    <xf numFmtId="164" fontId="18" fillId="0" borderId="0" xfId="0" applyNumberFormat="1" applyFont="1" applyFill="1" applyBorder="1" applyAlignment="1">
      <alignment horizontal="center"/>
    </xf>
    <xf numFmtId="164" fontId="5" fillId="0" borderId="21" xfId="0" applyNumberFormat="1" applyFont="1" applyFill="1" applyBorder="1" applyAlignment="1">
      <alignment horizontal="center"/>
    </xf>
    <xf numFmtId="164" fontId="18" fillId="0" borderId="0" xfId="0" applyNumberFormat="1" applyFont="1" applyFill="1" applyBorder="1"/>
    <xf numFmtId="164" fontId="3" fillId="0" borderId="0" xfId="0" applyNumberFormat="1" applyFont="1" applyFill="1" applyBorder="1" applyAlignment="1">
      <alignment horizontal="center"/>
    </xf>
    <xf numFmtId="0" fontId="17" fillId="0" borderId="0" xfId="0" applyFont="1" applyFill="1" applyBorder="1" applyAlignment="1">
      <alignment horizontal="center"/>
    </xf>
    <xf numFmtId="164" fontId="4" fillId="0" borderId="21" xfId="0" applyNumberFormat="1" applyFont="1" applyFill="1" applyBorder="1" applyAlignment="1">
      <alignment horizontal="center"/>
    </xf>
    <xf numFmtId="164" fontId="8" fillId="0" borderId="23" xfId="0" applyNumberFormat="1" applyFont="1" applyBorder="1" applyAlignment="1">
      <alignment horizontal="center"/>
    </xf>
    <xf numFmtId="164" fontId="8" fillId="0" borderId="18" xfId="0" applyNumberFormat="1" applyFont="1" applyBorder="1" applyAlignment="1">
      <alignment horizontal="center"/>
    </xf>
    <xf numFmtId="0" fontId="6"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xf>
    <xf numFmtId="164" fontId="6" fillId="4" borderId="0" xfId="0" applyNumberFormat="1" applyFont="1" applyFill="1" applyBorder="1" applyAlignment="1">
      <alignment horizontal="center"/>
    </xf>
    <xf numFmtId="165" fontId="8" fillId="3" borderId="0" xfId="0" applyNumberFormat="1" applyFont="1" applyFill="1" applyAlignment="1">
      <alignment horizontal="center"/>
    </xf>
    <xf numFmtId="0" fontId="20" fillId="0" borderId="19" xfId="0" applyFont="1" applyFill="1" applyBorder="1" applyAlignment="1">
      <alignment horizontal="left"/>
    </xf>
    <xf numFmtId="0" fontId="20" fillId="0" borderId="0" xfId="0" applyFont="1" applyFill="1" applyBorder="1" applyAlignment="1">
      <alignment horizontal="left"/>
    </xf>
    <xf numFmtId="164" fontId="8" fillId="0" borderId="19" xfId="0" applyNumberFormat="1" applyFont="1" applyBorder="1" applyAlignment="1">
      <alignment horizontal="center"/>
    </xf>
    <xf numFmtId="164" fontId="8" fillId="0" borderId="22" xfId="0" applyNumberFormat="1" applyFont="1" applyBorder="1" applyAlignment="1">
      <alignment horizontal="center"/>
    </xf>
    <xf numFmtId="0" fontId="9" fillId="4" borderId="19" xfId="0" applyFont="1" applyFill="1" applyBorder="1"/>
    <xf numFmtId="0" fontId="9" fillId="4" borderId="0" xfId="0" applyFont="1" applyFill="1" applyBorder="1" applyAlignment="1">
      <alignment horizontal="center"/>
    </xf>
    <xf numFmtId="0" fontId="9" fillId="4" borderId="1" xfId="0" applyFont="1" applyFill="1" applyBorder="1" applyAlignment="1">
      <alignment horizontal="center"/>
    </xf>
    <xf numFmtId="0" fontId="9" fillId="4" borderId="16" xfId="0" applyFont="1" applyFill="1" applyBorder="1" applyAlignment="1">
      <alignment horizontal="center"/>
    </xf>
    <xf numFmtId="0" fontId="9" fillId="4" borderId="17" xfId="0" applyFont="1" applyFill="1" applyBorder="1" applyAlignment="1">
      <alignment horizontal="center"/>
    </xf>
    <xf numFmtId="0" fontId="9" fillId="4" borderId="1" xfId="0" applyFont="1" applyFill="1" applyBorder="1" applyAlignment="1">
      <alignment horizontal="left"/>
    </xf>
    <xf numFmtId="0" fontId="9" fillId="4" borderId="0" xfId="0" applyFont="1" applyFill="1" applyAlignment="1">
      <alignment horizontal="left"/>
    </xf>
    <xf numFmtId="0" fontId="9" fillId="4" borderId="0" xfId="0" applyFont="1" applyFill="1" applyBorder="1"/>
    <xf numFmtId="0" fontId="9" fillId="4" borderId="19" xfId="0" applyFont="1" applyFill="1" applyBorder="1" applyAlignment="1">
      <alignment horizontal="center"/>
    </xf>
    <xf numFmtId="0" fontId="9" fillId="4" borderId="0" xfId="0" applyFont="1" applyFill="1"/>
    <xf numFmtId="0" fontId="9" fillId="4" borderId="18" xfId="0" applyFont="1" applyFill="1" applyBorder="1" applyAlignment="1">
      <alignment horizontal="center"/>
    </xf>
    <xf numFmtId="164" fontId="8" fillId="0" borderId="2" xfId="0" applyNumberFormat="1" applyFont="1" applyBorder="1" applyAlignment="1">
      <alignment horizontal="center"/>
    </xf>
    <xf numFmtId="164" fontId="8" fillId="0" borderId="14" xfId="0" applyNumberFormat="1" applyFont="1" applyBorder="1" applyAlignment="1">
      <alignment horizontal="center"/>
    </xf>
    <xf numFmtId="164" fontId="8" fillId="0" borderId="15" xfId="0" applyNumberFormat="1" applyFont="1" applyBorder="1" applyAlignment="1">
      <alignment horizontal="center"/>
    </xf>
    <xf numFmtId="164" fontId="4" fillId="0" borderId="0" xfId="0" applyNumberFormat="1" applyFont="1" applyFill="1" applyBorder="1" applyAlignment="1">
      <alignment horizontal="left" indent="2"/>
    </xf>
    <xf numFmtId="0" fontId="5" fillId="0" borderId="21" xfId="0" applyFont="1" applyFill="1" applyBorder="1"/>
    <xf numFmtId="164" fontId="4" fillId="0" borderId="2" xfId="0" applyNumberFormat="1" applyFont="1" applyFill="1" applyBorder="1" applyAlignment="1">
      <alignment horizontal="left" indent="2"/>
    </xf>
    <xf numFmtId="164" fontId="4" fillId="0" borderId="20" xfId="0" applyNumberFormat="1" applyFont="1" applyFill="1" applyBorder="1" applyAlignment="1">
      <alignment horizontal="left" indent="2"/>
    </xf>
    <xf numFmtId="0" fontId="12" fillId="7" borderId="11" xfId="0" applyFont="1" applyFill="1" applyBorder="1" applyAlignment="1">
      <alignment horizontal="center"/>
    </xf>
    <xf numFmtId="0" fontId="12" fillId="7" borderId="12" xfId="0" applyFont="1" applyFill="1" applyBorder="1" applyAlignment="1">
      <alignment horizontal="center"/>
    </xf>
    <xf numFmtId="0" fontId="3" fillId="6" borderId="0" xfId="0" applyFont="1" applyFill="1" applyBorder="1"/>
    <xf numFmtId="0" fontId="6" fillId="6" borderId="0" xfId="0" applyFont="1" applyFill="1" applyBorder="1" applyAlignment="1">
      <alignment horizontal="center" vertical="center" wrapText="1"/>
    </xf>
    <xf numFmtId="0" fontId="4" fillId="6" borderId="0" xfId="0" applyFont="1" applyFill="1" applyBorder="1"/>
    <xf numFmtId="0" fontId="18" fillId="6" borderId="0" xfId="0" applyFont="1" applyFill="1" applyBorder="1"/>
    <xf numFmtId="0" fontId="2" fillId="6" borderId="0" xfId="0" applyFont="1" applyFill="1" applyBorder="1"/>
    <xf numFmtId="0" fontId="5" fillId="6" borderId="0" xfId="0" applyFont="1" applyFill="1" applyBorder="1"/>
    <xf numFmtId="0" fontId="19" fillId="6" borderId="0" xfId="0" applyFont="1" applyFill="1" applyBorder="1"/>
    <xf numFmtId="165" fontId="4" fillId="6" borderId="0" xfId="0" applyNumberFormat="1" applyFont="1" applyFill="1" applyBorder="1"/>
    <xf numFmtId="164" fontId="5" fillId="9" borderId="18" xfId="0" applyNumberFormat="1" applyFont="1" applyFill="1" applyBorder="1" applyAlignment="1">
      <alignment horizontal="center"/>
    </xf>
    <xf numFmtId="164" fontId="5" fillId="9" borderId="0" xfId="0" applyNumberFormat="1" applyFont="1" applyFill="1" applyBorder="1" applyAlignment="1">
      <alignment horizontal="center"/>
    </xf>
    <xf numFmtId="164" fontId="5" fillId="9" borderId="19" xfId="0" applyNumberFormat="1" applyFont="1" applyFill="1" applyBorder="1" applyAlignment="1">
      <alignment horizontal="center"/>
    </xf>
    <xf numFmtId="0" fontId="8" fillId="9" borderId="0" xfId="0" applyFont="1" applyFill="1" applyAlignment="1">
      <alignment horizontal="center"/>
    </xf>
    <xf numFmtId="164" fontId="8" fillId="9" borderId="18" xfId="0" applyNumberFormat="1" applyFont="1" applyFill="1" applyBorder="1" applyAlignment="1">
      <alignment horizontal="center"/>
    </xf>
    <xf numFmtId="164" fontId="8" fillId="9" borderId="0" xfId="0" applyNumberFormat="1" applyFont="1" applyFill="1" applyBorder="1" applyAlignment="1">
      <alignment horizontal="center"/>
    </xf>
    <xf numFmtId="164" fontId="8" fillId="9" borderId="19" xfId="0" applyNumberFormat="1" applyFont="1" applyFill="1" applyBorder="1" applyAlignment="1">
      <alignment horizontal="center"/>
    </xf>
    <xf numFmtId="0" fontId="12" fillId="4" borderId="0" xfId="0" applyFont="1" applyFill="1" applyBorder="1"/>
    <xf numFmtId="0" fontId="9" fillId="4" borderId="0" xfId="0" applyFont="1" applyFill="1" applyBorder="1" applyAlignment="1">
      <alignment horizontal="left"/>
    </xf>
    <xf numFmtId="0" fontId="5" fillId="9" borderId="18" xfId="0" applyNumberFormat="1" applyFont="1" applyFill="1" applyBorder="1" applyAlignment="1">
      <alignment horizontal="center"/>
    </xf>
    <xf numFmtId="0" fontId="5" fillId="9" borderId="0" xfId="0" applyNumberFormat="1" applyFont="1" applyFill="1" applyBorder="1" applyAlignment="1">
      <alignment horizontal="center"/>
    </xf>
    <xf numFmtId="0" fontId="5" fillId="9" borderId="19" xfId="0" applyNumberFormat="1" applyFont="1" applyFill="1" applyBorder="1" applyAlignment="1">
      <alignment horizontal="center"/>
    </xf>
    <xf numFmtId="0" fontId="17" fillId="0" borderId="0" xfId="0" applyFont="1" applyFill="1" applyBorder="1"/>
    <xf numFmtId="0" fontId="25" fillId="0" borderId="0" xfId="0" applyFont="1" applyFill="1" applyBorder="1"/>
    <xf numFmtId="0" fontId="5" fillId="0" borderId="20" xfId="0" applyFont="1" applyFill="1" applyBorder="1" applyAlignment="1">
      <alignment horizontal="left"/>
    </xf>
    <xf numFmtId="0" fontId="26" fillId="0" borderId="0" xfId="0" applyFont="1" applyFill="1" applyBorder="1"/>
    <xf numFmtId="0" fontId="26" fillId="0" borderId="0" xfId="0" applyFont="1" applyFill="1" applyBorder="1" applyAlignment="1">
      <alignment horizontal="center"/>
    </xf>
    <xf numFmtId="0" fontId="25" fillId="0" borderId="0" xfId="0" applyFont="1" applyFill="1" applyBorder="1" applyAlignment="1">
      <alignment horizontal="center"/>
    </xf>
    <xf numFmtId="164" fontId="25" fillId="0" borderId="0" xfId="0" applyNumberFormat="1" applyFont="1" applyFill="1" applyBorder="1" applyAlignment="1">
      <alignment horizontal="center"/>
    </xf>
    <xf numFmtId="0" fontId="27" fillId="0" borderId="0" xfId="0" applyFont="1" applyFill="1" applyBorder="1"/>
    <xf numFmtId="0" fontId="25" fillId="0" borderId="0" xfId="0" applyFont="1" applyFill="1" applyBorder="1" applyAlignment="1">
      <alignment horizontal="left"/>
    </xf>
    <xf numFmtId="164" fontId="26" fillId="0" borderId="0" xfId="0" applyNumberFormat="1" applyFont="1" applyFill="1" applyBorder="1" applyAlignment="1">
      <alignment horizontal="center"/>
    </xf>
    <xf numFmtId="164" fontId="26" fillId="0" borderId="0" xfId="2" applyNumberFormat="1" applyFont="1" applyFill="1" applyBorder="1" applyAlignment="1">
      <alignment horizontal="center"/>
    </xf>
    <xf numFmtId="1" fontId="25" fillId="0" borderId="0" xfId="0" applyNumberFormat="1" applyFont="1" applyFill="1" applyBorder="1" applyAlignment="1">
      <alignment horizontal="center" vertical="center"/>
    </xf>
    <xf numFmtId="0" fontId="27" fillId="0" borderId="0" xfId="0" applyFont="1" applyFill="1" applyBorder="1" applyAlignment="1">
      <alignment horizontal="center"/>
    </xf>
    <xf numFmtId="170" fontId="25" fillId="0" borderId="0" xfId="2" applyNumberFormat="1" applyFont="1" applyFill="1" applyBorder="1" applyAlignment="1">
      <alignment horizontal="center"/>
    </xf>
    <xf numFmtId="170" fontId="25" fillId="0" borderId="0" xfId="0" applyNumberFormat="1" applyFont="1" applyFill="1" applyBorder="1" applyAlignment="1">
      <alignment horizontal="center"/>
    </xf>
    <xf numFmtId="0" fontId="8" fillId="0" borderId="0" xfId="0" applyNumberFormat="1" applyFont="1" applyBorder="1" applyAlignment="1">
      <alignment horizontal="center"/>
    </xf>
    <xf numFmtId="0" fontId="8" fillId="9" borderId="0" xfId="0" applyNumberFormat="1" applyFont="1" applyFill="1" applyBorder="1" applyAlignment="1">
      <alignment horizontal="center"/>
    </xf>
    <xf numFmtId="0" fontId="8" fillId="0" borderId="20" xfId="0" applyNumberFormat="1" applyFont="1" applyBorder="1" applyAlignment="1">
      <alignment horizontal="center"/>
    </xf>
    <xf numFmtId="0" fontId="8" fillId="0" borderId="18" xfId="0" applyNumberFormat="1" applyFont="1" applyBorder="1" applyAlignment="1">
      <alignment horizontal="center"/>
    </xf>
    <xf numFmtId="0" fontId="8" fillId="0" borderId="19" xfId="0" applyNumberFormat="1" applyFont="1" applyBorder="1" applyAlignment="1">
      <alignment horizontal="center"/>
    </xf>
    <xf numFmtId="0" fontId="8" fillId="9" borderId="18" xfId="0" applyNumberFormat="1" applyFont="1" applyFill="1" applyBorder="1" applyAlignment="1">
      <alignment horizontal="center"/>
    </xf>
    <xf numFmtId="0" fontId="8" fillId="9" borderId="19" xfId="0" applyNumberFormat="1" applyFont="1" applyFill="1" applyBorder="1" applyAlignment="1">
      <alignment horizontal="center"/>
    </xf>
    <xf numFmtId="0" fontId="8" fillId="0" borderId="23" xfId="0" applyNumberFormat="1" applyFont="1" applyBorder="1" applyAlignment="1">
      <alignment horizontal="center"/>
    </xf>
    <xf numFmtId="0" fontId="8" fillId="0" borderId="22" xfId="0" applyNumberFormat="1" applyFont="1" applyBorder="1" applyAlignment="1">
      <alignment horizontal="center"/>
    </xf>
    <xf numFmtId="0" fontId="12" fillId="4" borderId="19" xfId="0" applyFont="1" applyFill="1" applyBorder="1"/>
    <xf numFmtId="0" fontId="9" fillId="4" borderId="17" xfId="0" applyFont="1" applyFill="1" applyBorder="1" applyAlignment="1">
      <alignment horizontal="left"/>
    </xf>
    <xf numFmtId="0" fontId="9" fillId="4" borderId="19" xfId="0" applyFont="1" applyFill="1" applyBorder="1" applyAlignment="1">
      <alignment horizontal="left"/>
    </xf>
    <xf numFmtId="0" fontId="9" fillId="4" borderId="25" xfId="0" applyFont="1" applyFill="1" applyBorder="1" applyAlignment="1">
      <alignment horizontal="center"/>
    </xf>
    <xf numFmtId="0" fontId="5" fillId="0" borderId="26" xfId="0" applyNumberFormat="1" applyFont="1" applyFill="1" applyBorder="1" applyAlignment="1">
      <alignment horizontal="center"/>
    </xf>
    <xf numFmtId="0" fontId="5" fillId="0" borderId="25" xfId="0" applyNumberFormat="1" applyFont="1" applyFill="1" applyBorder="1" applyAlignment="1">
      <alignment horizontal="center"/>
    </xf>
    <xf numFmtId="0" fontId="5" fillId="9" borderId="25" xfId="0" applyNumberFormat="1" applyFont="1" applyFill="1" applyBorder="1" applyAlignment="1">
      <alignment horizontal="center"/>
    </xf>
    <xf numFmtId="0" fontId="5" fillId="0" borderId="24" xfId="0" applyNumberFormat="1" applyFont="1" applyFill="1" applyBorder="1" applyAlignment="1">
      <alignment horizontal="center"/>
    </xf>
    <xf numFmtId="0" fontId="9" fillId="4" borderId="26" xfId="0" applyFont="1" applyFill="1" applyBorder="1" applyAlignment="1">
      <alignment horizontal="center"/>
    </xf>
    <xf numFmtId="0" fontId="8" fillId="0" borderId="25" xfId="0" applyNumberFormat="1" applyFont="1" applyBorder="1" applyAlignment="1">
      <alignment horizontal="center"/>
    </xf>
    <xf numFmtId="0" fontId="8" fillId="9" borderId="25" xfId="0" applyNumberFormat="1" applyFont="1" applyFill="1" applyBorder="1" applyAlignment="1">
      <alignment horizontal="center"/>
    </xf>
    <xf numFmtId="0" fontId="8" fillId="0" borderId="24" xfId="0" applyNumberFormat="1" applyFont="1" applyBorder="1" applyAlignment="1">
      <alignment horizontal="center"/>
    </xf>
    <xf numFmtId="0" fontId="5" fillId="11" borderId="2" xfId="0" applyFont="1" applyFill="1" applyBorder="1" applyAlignment="1" applyProtection="1">
      <alignment horizontal="center"/>
      <protection locked="0"/>
    </xf>
    <xf numFmtId="0" fontId="12" fillId="7" borderId="13" xfId="0" applyFont="1" applyFill="1" applyBorder="1" applyAlignment="1">
      <alignment horizontal="center" wrapText="1"/>
    </xf>
    <xf numFmtId="9" fontId="8" fillId="11" borderId="7" xfId="0" applyNumberFormat="1" applyFont="1" applyFill="1" applyBorder="1" applyAlignment="1" applyProtection="1">
      <alignment horizontal="center"/>
      <protection locked="0"/>
    </xf>
    <xf numFmtId="9" fontId="8" fillId="11" borderId="10" xfId="0" applyNumberFormat="1" applyFont="1" applyFill="1" applyBorder="1" applyAlignment="1" applyProtection="1">
      <alignment horizontal="center"/>
      <protection locked="0"/>
    </xf>
    <xf numFmtId="164" fontId="14" fillId="11" borderId="0" xfId="0" applyNumberFormat="1" applyFont="1" applyFill="1" applyAlignment="1" applyProtection="1">
      <alignment horizontal="center" wrapText="1"/>
      <protection locked="0"/>
    </xf>
    <xf numFmtId="0" fontId="4" fillId="11" borderId="2" xfId="0" applyFont="1" applyFill="1" applyBorder="1" applyAlignment="1" applyProtection="1">
      <alignment horizontal="center"/>
      <protection locked="0"/>
    </xf>
    <xf numFmtId="0" fontId="4" fillId="11" borderId="0" xfId="0" applyFont="1" applyFill="1" applyBorder="1" applyAlignment="1" applyProtection="1">
      <alignment horizontal="center"/>
      <protection locked="0"/>
    </xf>
    <xf numFmtId="0" fontId="4" fillId="11" borderId="20" xfId="0" applyFont="1" applyFill="1" applyBorder="1" applyAlignment="1" applyProtection="1">
      <alignment horizontal="center"/>
      <protection locked="0"/>
    </xf>
    <xf numFmtId="1" fontId="4" fillId="11" borderId="2" xfId="0" applyNumberFormat="1" applyFont="1" applyFill="1" applyBorder="1" applyAlignment="1" applyProtection="1">
      <alignment horizontal="center" vertical="center"/>
      <protection locked="0"/>
    </xf>
    <xf numFmtId="1" fontId="4" fillId="11" borderId="0" xfId="0" applyNumberFormat="1" applyFont="1" applyFill="1" applyBorder="1" applyAlignment="1" applyProtection="1">
      <alignment horizontal="center" vertical="center"/>
      <protection locked="0"/>
    </xf>
    <xf numFmtId="0" fontId="5" fillId="11" borderId="20" xfId="0" applyFont="1" applyFill="1" applyBorder="1" applyAlignment="1" applyProtection="1">
      <alignment horizontal="center"/>
      <protection locked="0"/>
    </xf>
    <xf numFmtId="1" fontId="4" fillId="11" borderId="20" xfId="0" applyNumberFormat="1" applyFont="1" applyFill="1" applyBorder="1" applyAlignment="1" applyProtection="1">
      <alignment horizontal="center" vertical="center"/>
      <protection locked="0"/>
    </xf>
    <xf numFmtId="1" fontId="5" fillId="11" borderId="2" xfId="0" applyNumberFormat="1" applyFont="1" applyFill="1" applyBorder="1" applyAlignment="1" applyProtection="1">
      <alignment horizontal="center" vertical="center"/>
      <protection locked="0"/>
    </xf>
    <xf numFmtId="0" fontId="5" fillId="11" borderId="0" xfId="0" applyFont="1" applyFill="1" applyBorder="1" applyAlignment="1" applyProtection="1">
      <alignment horizontal="center"/>
      <protection locked="0"/>
    </xf>
    <xf numFmtId="1" fontId="5" fillId="11" borderId="0" xfId="0" applyNumberFormat="1" applyFont="1" applyFill="1" applyBorder="1" applyAlignment="1" applyProtection="1">
      <alignment horizontal="center" vertical="center"/>
      <protection locked="0"/>
    </xf>
    <xf numFmtId="1" fontId="5" fillId="11" borderId="20" xfId="0" applyNumberFormat="1" applyFont="1" applyFill="1" applyBorder="1" applyAlignment="1" applyProtection="1">
      <alignment horizontal="center" vertical="center"/>
      <protection locked="0"/>
    </xf>
    <xf numFmtId="0" fontId="4" fillId="11" borderId="21" xfId="0" applyFont="1" applyFill="1" applyBorder="1" applyAlignment="1" applyProtection="1">
      <alignment horizontal="center"/>
      <protection locked="0"/>
    </xf>
    <xf numFmtId="1" fontId="4" fillId="11" borderId="2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xf>
    <xf numFmtId="0" fontId="9" fillId="12" borderId="18" xfId="0" applyFont="1" applyFill="1" applyBorder="1" applyAlignment="1">
      <alignment horizontal="center"/>
    </xf>
    <xf numFmtId="0" fontId="9" fillId="12" borderId="0" xfId="0" applyFont="1" applyFill="1" applyBorder="1" applyAlignment="1">
      <alignment horizontal="center"/>
    </xf>
    <xf numFmtId="0" fontId="9" fillId="12" borderId="19" xfId="0" applyFont="1" applyFill="1" applyBorder="1" applyAlignment="1">
      <alignment horizontal="center"/>
    </xf>
    <xf numFmtId="1" fontId="5" fillId="0" borderId="0" xfId="0" applyNumberFormat="1" applyFont="1" applyFill="1" applyBorder="1" applyAlignment="1">
      <alignment horizontal="center"/>
    </xf>
    <xf numFmtId="1" fontId="20" fillId="0" borderId="0" xfId="0" applyNumberFormat="1" applyFont="1" applyFill="1" applyBorder="1" applyAlignment="1">
      <alignment horizontal="center"/>
    </xf>
    <xf numFmtId="1" fontId="8" fillId="0" borderId="14" xfId="2" applyNumberFormat="1" applyFont="1" applyBorder="1" applyAlignment="1">
      <alignment horizontal="center"/>
    </xf>
    <xf numFmtId="1" fontId="8" fillId="0" borderId="2" xfId="2" applyNumberFormat="1" applyFont="1" applyBorder="1" applyAlignment="1">
      <alignment horizontal="center"/>
    </xf>
    <xf numFmtId="1" fontId="8" fillId="0" borderId="15" xfId="2" applyNumberFormat="1" applyFont="1" applyBorder="1" applyAlignment="1">
      <alignment horizontal="center"/>
    </xf>
    <xf numFmtId="1" fontId="8" fillId="0" borderId="18" xfId="2" applyNumberFormat="1" applyFont="1" applyBorder="1" applyAlignment="1">
      <alignment horizontal="center"/>
    </xf>
    <xf numFmtId="1" fontId="8" fillId="0" borderId="0" xfId="2" applyNumberFormat="1" applyFont="1" applyBorder="1" applyAlignment="1">
      <alignment horizontal="center"/>
    </xf>
    <xf numFmtId="1" fontId="8" fillId="0" borderId="19" xfId="2" applyNumberFormat="1" applyFont="1" applyBorder="1" applyAlignment="1">
      <alignment horizontal="center"/>
    </xf>
    <xf numFmtId="0" fontId="8" fillId="0" borderId="0" xfId="0" applyFont="1" applyBorder="1" applyProtection="1"/>
    <xf numFmtId="0" fontId="9" fillId="4" borderId="0" xfId="0" applyFont="1" applyFill="1" applyBorder="1" applyAlignment="1" applyProtection="1">
      <alignment horizontal="center" vertical="center"/>
    </xf>
    <xf numFmtId="0" fontId="8" fillId="4" borderId="0" xfId="0" applyFont="1" applyFill="1" applyBorder="1" applyProtection="1"/>
    <xf numFmtId="0" fontId="8" fillId="6" borderId="0" xfId="0" applyFont="1" applyFill="1" applyBorder="1" applyProtection="1"/>
    <xf numFmtId="0" fontId="12" fillId="10" borderId="0" xfId="0" applyFont="1" applyFill="1" applyBorder="1" applyProtection="1"/>
    <xf numFmtId="0" fontId="6" fillId="10" borderId="0" xfId="0" applyFont="1" applyFill="1" applyBorder="1" applyProtection="1"/>
    <xf numFmtId="0" fontId="6" fillId="6" borderId="0" xfId="0" applyFont="1" applyFill="1" applyBorder="1" applyProtection="1"/>
    <xf numFmtId="164" fontId="2" fillId="10" borderId="18" xfId="0" applyNumberFormat="1" applyFont="1" applyFill="1" applyBorder="1" applyAlignment="1" applyProtection="1">
      <alignment horizontal="center"/>
    </xf>
    <xf numFmtId="164" fontId="6" fillId="10" borderId="0" xfId="0" applyNumberFormat="1" applyFont="1" applyFill="1" applyBorder="1" applyAlignment="1" applyProtection="1">
      <alignment horizontal="center"/>
    </xf>
    <xf numFmtId="164" fontId="2" fillId="10" borderId="0" xfId="0" applyNumberFormat="1" applyFont="1" applyFill="1" applyBorder="1" applyAlignment="1" applyProtection="1">
      <alignment horizontal="center"/>
    </xf>
    <xf numFmtId="0" fontId="2" fillId="10" borderId="18" xfId="0" applyFont="1" applyFill="1" applyBorder="1" applyAlignment="1" applyProtection="1">
      <alignment horizontal="center"/>
    </xf>
    <xf numFmtId="0" fontId="6" fillId="10" borderId="0" xfId="0" applyFont="1" applyFill="1" applyBorder="1" applyAlignment="1" applyProtection="1">
      <alignment horizontal="center"/>
    </xf>
    <xf numFmtId="0" fontId="2" fillId="10" borderId="0" xfId="0" applyFont="1" applyFill="1" applyBorder="1" applyAlignment="1" applyProtection="1">
      <alignment horizontal="center"/>
    </xf>
    <xf numFmtId="0" fontId="8" fillId="3" borderId="18" xfId="0" applyFont="1" applyFill="1" applyBorder="1" applyAlignment="1" applyProtection="1">
      <alignment horizontal="center"/>
    </xf>
    <xf numFmtId="0" fontId="8" fillId="3" borderId="0" xfId="0" applyFont="1" applyFill="1" applyBorder="1" applyAlignment="1" applyProtection="1">
      <alignment horizontal="center"/>
    </xf>
    <xf numFmtId="0" fontId="8" fillId="6" borderId="0" xfId="0" applyFont="1" applyFill="1" applyBorder="1" applyAlignment="1" applyProtection="1">
      <alignment horizontal="center"/>
    </xf>
    <xf numFmtId="0" fontId="6" fillId="10" borderId="18" xfId="0" applyFont="1" applyFill="1" applyBorder="1" applyAlignment="1" applyProtection="1">
      <alignment horizontal="center"/>
    </xf>
    <xf numFmtId="0" fontId="17" fillId="8" borderId="0" xfId="0" applyFont="1" applyFill="1" applyBorder="1" applyAlignment="1" applyProtection="1">
      <alignment horizontal="center"/>
    </xf>
    <xf numFmtId="0" fontId="28" fillId="8" borderId="0" xfId="0" applyFont="1" applyFill="1" applyBorder="1" applyAlignment="1" applyProtection="1">
      <alignment horizontal="center"/>
    </xf>
    <xf numFmtId="0" fontId="28" fillId="6" borderId="0" xfId="0" applyFont="1" applyFill="1" applyBorder="1" applyAlignment="1" applyProtection="1">
      <alignment horizontal="center"/>
    </xf>
    <xf numFmtId="164" fontId="17" fillId="8" borderId="18" xfId="0" applyNumberFormat="1" applyFont="1" applyFill="1" applyBorder="1" applyAlignment="1" applyProtection="1">
      <alignment horizontal="center"/>
    </xf>
    <xf numFmtId="164" fontId="17" fillId="8" borderId="0" xfId="0" applyNumberFormat="1" applyFont="1" applyFill="1" applyBorder="1" applyAlignment="1" applyProtection="1">
      <alignment horizontal="center"/>
    </xf>
    <xf numFmtId="0" fontId="17" fillId="8" borderId="18" xfId="0" applyFont="1" applyFill="1" applyBorder="1" applyAlignment="1" applyProtection="1">
      <alignment horizontal="center"/>
    </xf>
    <xf numFmtId="0" fontId="29" fillId="3" borderId="18" xfId="0" applyFont="1" applyFill="1" applyBorder="1" applyAlignment="1" applyProtection="1">
      <alignment horizontal="center"/>
    </xf>
    <xf numFmtId="0" fontId="29" fillId="6" borderId="0" xfId="0" applyFont="1" applyFill="1" applyBorder="1" applyProtection="1"/>
    <xf numFmtId="0" fontId="29" fillId="3" borderId="0" xfId="0" applyFont="1" applyFill="1" applyBorder="1" applyAlignment="1" applyProtection="1">
      <alignment horizontal="center"/>
    </xf>
    <xf numFmtId="0" fontId="29" fillId="6" borderId="0" xfId="0" applyFont="1" applyFill="1" applyBorder="1" applyAlignment="1" applyProtection="1">
      <alignment horizontal="center"/>
    </xf>
    <xf numFmtId="0" fontId="20" fillId="0" borderId="2" xfId="0" applyFont="1" applyFill="1" applyBorder="1" applyAlignment="1" applyProtection="1">
      <alignment horizontal="center"/>
    </xf>
    <xf numFmtId="0" fontId="8" fillId="0" borderId="2" xfId="0" applyFont="1" applyBorder="1" applyAlignment="1" applyProtection="1">
      <alignment horizontal="center"/>
    </xf>
    <xf numFmtId="0" fontId="8" fillId="6" borderId="2" xfId="0" applyFont="1" applyFill="1" applyBorder="1" applyAlignment="1" applyProtection="1">
      <alignment horizontal="center"/>
    </xf>
    <xf numFmtId="164" fontId="5" fillId="0" borderId="2" xfId="0" applyNumberFormat="1" applyFont="1" applyFill="1" applyBorder="1" applyAlignment="1" applyProtection="1">
      <alignment horizontal="center"/>
    </xf>
    <xf numFmtId="164" fontId="5" fillId="0" borderId="14" xfId="0" applyNumberFormat="1" applyFont="1" applyFill="1" applyBorder="1" applyAlignment="1" applyProtection="1">
      <alignment horizontal="center"/>
    </xf>
    <xf numFmtId="9" fontId="8" fillId="3" borderId="14" xfId="3" applyFont="1" applyFill="1" applyBorder="1" applyAlignment="1" applyProtection="1">
      <alignment horizontal="center"/>
    </xf>
    <xf numFmtId="0" fontId="8" fillId="6" borderId="2" xfId="0" applyFont="1" applyFill="1" applyBorder="1" applyProtection="1"/>
    <xf numFmtId="0" fontId="8" fillId="0" borderId="2" xfId="0" applyFont="1" applyFill="1" applyBorder="1" applyAlignment="1" applyProtection="1">
      <alignment horizontal="center"/>
    </xf>
    <xf numFmtId="0" fontId="8" fillId="0" borderId="14" xfId="0" applyFont="1" applyFill="1" applyBorder="1" applyAlignment="1" applyProtection="1">
      <alignment horizontal="center"/>
    </xf>
    <xf numFmtId="9" fontId="8" fillId="3" borderId="2" xfId="3" applyFont="1" applyFill="1" applyBorder="1" applyAlignment="1" applyProtection="1">
      <alignment horizontal="center"/>
    </xf>
    <xf numFmtId="9" fontId="8" fillId="6" borderId="2" xfId="3" applyFont="1" applyFill="1" applyBorder="1" applyAlignment="1" applyProtection="1">
      <alignment horizontal="center"/>
    </xf>
    <xf numFmtId="0" fontId="8" fillId="3" borderId="2" xfId="3" applyNumberFormat="1" applyFont="1" applyFill="1" applyBorder="1" applyAlignment="1" applyProtection="1">
      <alignment horizontal="center"/>
    </xf>
    <xf numFmtId="0" fontId="8" fillId="0" borderId="0" xfId="0" applyFont="1" applyBorder="1" applyAlignment="1" applyProtection="1">
      <alignment horizontal="center"/>
    </xf>
    <xf numFmtId="164" fontId="8" fillId="0" borderId="0" xfId="0" applyNumberFormat="1" applyFont="1" applyFill="1" applyBorder="1" applyAlignment="1" applyProtection="1">
      <alignment horizontal="center"/>
    </xf>
    <xf numFmtId="164" fontId="8" fillId="0" borderId="18" xfId="0" applyNumberFormat="1" applyFont="1" applyFill="1" applyBorder="1" applyAlignment="1" applyProtection="1">
      <alignment horizontal="center"/>
    </xf>
    <xf numFmtId="9" fontId="8" fillId="3" borderId="18" xfId="3" applyFont="1" applyFill="1" applyBorder="1" applyAlignment="1" applyProtection="1">
      <alignment horizontal="center"/>
    </xf>
    <xf numFmtId="0" fontId="8" fillId="0" borderId="0" xfId="0" applyFont="1" applyFill="1" applyBorder="1" applyAlignment="1" applyProtection="1">
      <alignment horizontal="center"/>
    </xf>
    <xf numFmtId="0" fontId="8" fillId="0" borderId="18" xfId="0" applyFont="1" applyFill="1" applyBorder="1" applyAlignment="1" applyProtection="1">
      <alignment horizontal="center"/>
    </xf>
    <xf numFmtId="9" fontId="8" fillId="3" borderId="0" xfId="3" applyFont="1" applyFill="1" applyBorder="1" applyAlignment="1" applyProtection="1">
      <alignment horizontal="center"/>
    </xf>
    <xf numFmtId="9" fontId="8" fillId="6" borderId="0" xfId="3" applyFont="1" applyFill="1" applyBorder="1" applyAlignment="1" applyProtection="1">
      <alignment horizontal="center"/>
    </xf>
    <xf numFmtId="0" fontId="8" fillId="3" borderId="0" xfId="3" applyNumberFormat="1" applyFont="1" applyFill="1" applyBorder="1" applyAlignment="1" applyProtection="1">
      <alignment horizontal="center"/>
    </xf>
    <xf numFmtId="0" fontId="8" fillId="0" borderId="20" xfId="0" applyFont="1" applyBorder="1" applyProtection="1"/>
    <xf numFmtId="0" fontId="8" fillId="0" borderId="20" xfId="0" applyFont="1" applyBorder="1" applyAlignment="1" applyProtection="1">
      <alignment horizontal="center"/>
    </xf>
    <xf numFmtId="0" fontId="8" fillId="6" borderId="20" xfId="0" applyFont="1" applyFill="1" applyBorder="1" applyAlignment="1" applyProtection="1">
      <alignment horizontal="center"/>
    </xf>
    <xf numFmtId="164" fontId="8" fillId="0" borderId="20" xfId="0" applyNumberFormat="1" applyFont="1" applyFill="1" applyBorder="1" applyAlignment="1" applyProtection="1">
      <alignment horizontal="center"/>
    </xf>
    <xf numFmtId="164" fontId="8" fillId="0" borderId="23" xfId="0" applyNumberFormat="1" applyFont="1" applyFill="1" applyBorder="1" applyAlignment="1" applyProtection="1">
      <alignment horizontal="center"/>
    </xf>
    <xf numFmtId="9" fontId="8" fillId="3" borderId="23" xfId="3" applyFont="1" applyFill="1" applyBorder="1" applyAlignment="1" applyProtection="1">
      <alignment horizontal="center"/>
    </xf>
    <xf numFmtId="0" fontId="8" fillId="6" borderId="20" xfId="0" applyFont="1" applyFill="1" applyBorder="1" applyProtection="1"/>
    <xf numFmtId="0" fontId="8" fillId="0" borderId="20" xfId="0" applyFont="1" applyFill="1" applyBorder="1" applyAlignment="1" applyProtection="1">
      <alignment horizontal="center"/>
    </xf>
    <xf numFmtId="0" fontId="8" fillId="0" borderId="23" xfId="0" applyFont="1" applyFill="1" applyBorder="1" applyAlignment="1" applyProtection="1">
      <alignment horizontal="center"/>
    </xf>
    <xf numFmtId="9" fontId="8" fillId="3" borderId="20" xfId="3" applyFont="1" applyFill="1" applyBorder="1" applyAlignment="1" applyProtection="1">
      <alignment horizontal="center"/>
    </xf>
    <xf numFmtId="9" fontId="8" fillId="6" borderId="20" xfId="3" applyFont="1" applyFill="1" applyBorder="1" applyAlignment="1" applyProtection="1">
      <alignment horizontal="center"/>
    </xf>
    <xf numFmtId="0" fontId="8" fillId="3" borderId="20" xfId="3" applyNumberFormat="1" applyFont="1" applyFill="1" applyBorder="1" applyAlignment="1" applyProtection="1">
      <alignment horizontal="center"/>
    </xf>
    <xf numFmtId="0" fontId="30" fillId="0" borderId="0" xfId="0" applyFont="1" applyBorder="1" applyProtection="1"/>
    <xf numFmtId="0" fontId="30" fillId="0" borderId="0" xfId="0" applyFont="1" applyBorder="1" applyAlignment="1" applyProtection="1">
      <alignment horizontal="center"/>
    </xf>
    <xf numFmtId="0" fontId="30" fillId="6" borderId="0" xfId="0" applyFont="1" applyFill="1" applyBorder="1" applyAlignment="1" applyProtection="1">
      <alignment horizontal="center"/>
    </xf>
    <xf numFmtId="164" fontId="30" fillId="0" borderId="0" xfId="0" applyNumberFormat="1" applyFont="1" applyFill="1" applyBorder="1" applyAlignment="1" applyProtection="1">
      <alignment horizontal="center"/>
    </xf>
    <xf numFmtId="164" fontId="30" fillId="0" borderId="18" xfId="0" applyNumberFormat="1" applyFont="1" applyFill="1" applyBorder="1" applyAlignment="1" applyProtection="1">
      <alignment horizontal="center"/>
    </xf>
    <xf numFmtId="9" fontId="30" fillId="3" borderId="18" xfId="3" applyFont="1" applyFill="1" applyBorder="1" applyAlignment="1" applyProtection="1">
      <alignment horizontal="center"/>
    </xf>
    <xf numFmtId="0" fontId="30" fillId="6" borderId="0" xfId="0" applyFont="1" applyFill="1" applyBorder="1" applyProtection="1"/>
    <xf numFmtId="1" fontId="30" fillId="0" borderId="0" xfId="0" applyNumberFormat="1" applyFont="1" applyFill="1" applyBorder="1" applyAlignment="1" applyProtection="1">
      <alignment horizontal="center"/>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center"/>
    </xf>
    <xf numFmtId="9" fontId="30" fillId="3" borderId="0" xfId="3" applyFont="1" applyFill="1" applyBorder="1" applyAlignment="1" applyProtection="1">
      <alignment horizontal="center"/>
    </xf>
    <xf numFmtId="9" fontId="30" fillId="6" borderId="0" xfId="3" applyFont="1" applyFill="1" applyBorder="1" applyAlignment="1" applyProtection="1">
      <alignment horizontal="center"/>
    </xf>
    <xf numFmtId="1" fontId="30" fillId="3" borderId="0" xfId="3" applyNumberFormat="1" applyFont="1" applyFill="1" applyBorder="1" applyAlignment="1" applyProtection="1">
      <alignment horizontal="center"/>
    </xf>
    <xf numFmtId="1" fontId="30" fillId="0" borderId="18" xfId="0" applyNumberFormat="1" applyFont="1" applyFill="1" applyBorder="1" applyAlignment="1" applyProtection="1">
      <alignment horizontal="center"/>
    </xf>
    <xf numFmtId="164" fontId="8" fillId="0" borderId="2" xfId="0" applyNumberFormat="1" applyFont="1" applyFill="1" applyBorder="1" applyAlignment="1" applyProtection="1">
      <alignment horizontal="center"/>
    </xf>
    <xf numFmtId="164" fontId="8" fillId="0" borderId="14" xfId="0" applyNumberFormat="1" applyFont="1" applyFill="1" applyBorder="1" applyAlignment="1" applyProtection="1">
      <alignment horizontal="center"/>
    </xf>
    <xf numFmtId="170" fontId="30" fillId="0" borderId="18" xfId="0" applyNumberFormat="1" applyFont="1" applyFill="1" applyBorder="1" applyAlignment="1" applyProtection="1">
      <alignment horizontal="center"/>
    </xf>
    <xf numFmtId="170" fontId="30" fillId="0" borderId="0" xfId="0" applyNumberFormat="1" applyFont="1" applyFill="1" applyBorder="1" applyAlignment="1" applyProtection="1">
      <alignment horizontal="center"/>
    </xf>
    <xf numFmtId="0" fontId="13" fillId="0" borderId="0" xfId="0" applyFont="1" applyBorder="1" applyAlignment="1" applyProtection="1">
      <alignment horizontal="center"/>
    </xf>
    <xf numFmtId="1" fontId="8" fillId="0" borderId="23" xfId="0" applyNumberFormat="1" applyFont="1" applyFill="1" applyBorder="1" applyAlignment="1" applyProtection="1">
      <alignment horizontal="center"/>
    </xf>
    <xf numFmtId="1" fontId="8" fillId="0" borderId="20" xfId="0" applyNumberFormat="1" applyFont="1" applyFill="1" applyBorder="1" applyAlignment="1" applyProtection="1">
      <alignment horizontal="center"/>
    </xf>
    <xf numFmtId="170" fontId="30" fillId="0" borderId="18" xfId="2" applyNumberFormat="1" applyFont="1" applyFill="1" applyBorder="1" applyAlignment="1" applyProtection="1">
      <alignment horizontal="center"/>
    </xf>
    <xf numFmtId="170" fontId="30" fillId="0" borderId="0" xfId="2" applyNumberFormat="1" applyFont="1" applyFill="1" applyBorder="1" applyAlignment="1" applyProtection="1">
      <alignment horizontal="center"/>
    </xf>
    <xf numFmtId="0" fontId="8" fillId="0" borderId="0" xfId="0" applyFont="1" applyFill="1" applyBorder="1" applyProtection="1"/>
    <xf numFmtId="0" fontId="9" fillId="12" borderId="18" xfId="0" applyFont="1" applyFill="1" applyBorder="1" applyAlignment="1">
      <alignment horizontal="center"/>
    </xf>
    <xf numFmtId="0" fontId="9" fillId="12" borderId="0" xfId="0" applyFont="1" applyFill="1" applyBorder="1" applyAlignment="1">
      <alignment horizontal="center"/>
    </xf>
    <xf numFmtId="0" fontId="9" fillId="12" borderId="19" xfId="0" applyFont="1" applyFill="1" applyBorder="1" applyAlignment="1">
      <alignment horizontal="center"/>
    </xf>
    <xf numFmtId="1" fontId="8" fillId="0" borderId="0" xfId="2" applyNumberFormat="1" applyFont="1" applyFill="1" applyBorder="1" applyAlignment="1">
      <alignment horizontal="center"/>
    </xf>
    <xf numFmtId="0" fontId="32" fillId="14" borderId="0" xfId="0" applyFont="1" applyFill="1" applyBorder="1" applyAlignment="1">
      <alignment horizontal="left" vertical="top"/>
    </xf>
    <xf numFmtId="0" fontId="0" fillId="14" borderId="0" xfId="0" applyFill="1" applyBorder="1"/>
    <xf numFmtId="0" fontId="0" fillId="0" borderId="0" xfId="0" applyBorder="1"/>
    <xf numFmtId="0" fontId="31" fillId="0" borderId="0" xfId="0" applyFont="1" applyBorder="1"/>
    <xf numFmtId="0" fontId="0" fillId="0" borderId="0" xfId="0" applyFont="1" applyBorder="1"/>
    <xf numFmtId="0" fontId="31" fillId="13" borderId="0" xfId="0" applyFont="1" applyFill="1" applyBorder="1" applyAlignment="1">
      <alignment vertical="top" wrapText="1"/>
    </xf>
    <xf numFmtId="0" fontId="31" fillId="0" borderId="0" xfId="0" applyFont="1" applyBorder="1" applyAlignment="1">
      <alignment vertical="top" wrapText="1"/>
    </xf>
    <xf numFmtId="0" fontId="0" fillId="0" borderId="0" xfId="0" applyFont="1" applyBorder="1" applyAlignment="1">
      <alignment vertical="top" wrapText="1"/>
    </xf>
    <xf numFmtId="0" fontId="0" fillId="0" borderId="0" xfId="0" applyBorder="1" applyAlignment="1">
      <alignment horizontal="right" vertical="top"/>
    </xf>
    <xf numFmtId="0" fontId="0" fillId="0" borderId="0" xfId="0" applyFill="1" applyBorder="1" applyAlignment="1">
      <alignment horizontal="right" vertical="top"/>
    </xf>
    <xf numFmtId="0" fontId="0" fillId="0" borderId="0" xfId="0" applyBorder="1" applyAlignment="1">
      <alignment vertical="top" wrapText="1"/>
    </xf>
    <xf numFmtId="0" fontId="29" fillId="0" borderId="0" xfId="0" applyFont="1" applyFill="1" applyBorder="1" applyProtection="1"/>
    <xf numFmtId="0" fontId="30" fillId="0" borderId="0" xfId="0" applyFont="1" applyFill="1" applyBorder="1" applyProtection="1"/>
    <xf numFmtId="0" fontId="33" fillId="13" borderId="0" xfId="0" applyFont="1" applyFill="1" applyBorder="1" applyAlignment="1">
      <alignment horizontal="left" vertical="top" wrapText="1"/>
    </xf>
    <xf numFmtId="0" fontId="9" fillId="4" borderId="18" xfId="0" applyFont="1" applyFill="1" applyBorder="1" applyAlignment="1" applyProtection="1">
      <alignment horizontal="center"/>
    </xf>
    <xf numFmtId="0" fontId="1" fillId="4" borderId="0" xfId="0" applyFont="1" applyFill="1" applyBorder="1" applyAlignment="1" applyProtection="1">
      <alignment horizontal="center"/>
    </xf>
    <xf numFmtId="0" fontId="1" fillId="4" borderId="0" xfId="0" applyFont="1" applyFill="1" applyAlignment="1" applyProtection="1"/>
    <xf numFmtId="0" fontId="9" fillId="4" borderId="0" xfId="0" applyFont="1" applyFill="1" applyBorder="1" applyAlignment="1" applyProtection="1">
      <alignment horizontal="center"/>
    </xf>
    <xf numFmtId="0" fontId="9" fillId="4" borderId="0" xfId="0" applyFont="1" applyFill="1" applyAlignment="1" applyProtection="1">
      <alignment horizontal="center"/>
    </xf>
    <xf numFmtId="0" fontId="0" fillId="4" borderId="0" xfId="0" applyFill="1" applyAlignment="1" applyProtection="1">
      <alignment horizontal="center"/>
    </xf>
    <xf numFmtId="0" fontId="9" fillId="12" borderId="14" xfId="0" applyFont="1" applyFill="1" applyBorder="1" applyAlignment="1">
      <alignment horizontal="center"/>
    </xf>
    <xf numFmtId="0" fontId="9" fillId="12" borderId="2" xfId="0" applyFont="1" applyFill="1" applyBorder="1" applyAlignment="1">
      <alignment horizontal="center"/>
    </xf>
    <xf numFmtId="0" fontId="9" fillId="12" borderId="15" xfId="0" applyFont="1" applyFill="1" applyBorder="1" applyAlignment="1">
      <alignment horizontal="center"/>
    </xf>
    <xf numFmtId="0" fontId="9" fillId="12" borderId="18" xfId="0" applyFont="1" applyFill="1" applyBorder="1" applyAlignment="1">
      <alignment horizontal="center"/>
    </xf>
    <xf numFmtId="0" fontId="9" fillId="12" borderId="0" xfId="0" applyFont="1" applyFill="1" applyBorder="1" applyAlignment="1">
      <alignment horizontal="center"/>
    </xf>
    <xf numFmtId="0" fontId="9" fillId="4" borderId="18" xfId="0" applyFont="1" applyFill="1" applyBorder="1" applyAlignment="1">
      <alignment horizontal="center"/>
    </xf>
    <xf numFmtId="0" fontId="9" fillId="4" borderId="0" xfId="0" applyFont="1" applyFill="1" applyBorder="1" applyAlignment="1">
      <alignment horizontal="center"/>
    </xf>
    <xf numFmtId="0" fontId="9" fillId="4" borderId="2" xfId="0" applyFont="1" applyFill="1" applyBorder="1" applyAlignment="1">
      <alignment horizontal="center"/>
    </xf>
    <xf numFmtId="0" fontId="9" fillId="4" borderId="14" xfId="0" applyFont="1" applyFill="1" applyBorder="1" applyAlignment="1">
      <alignment horizontal="center"/>
    </xf>
    <xf numFmtId="0" fontId="9" fillId="4" borderId="15" xfId="0" applyFont="1" applyFill="1" applyBorder="1" applyAlignment="1">
      <alignment horizontal="center"/>
    </xf>
    <xf numFmtId="0" fontId="9" fillId="12" borderId="19" xfId="0" applyFont="1" applyFill="1" applyBorder="1" applyAlignment="1">
      <alignment horizontal="center"/>
    </xf>
    <xf numFmtId="0" fontId="9" fillId="4" borderId="19" xfId="0" applyFont="1" applyFill="1" applyBorder="1" applyAlignment="1">
      <alignment horizontal="center"/>
    </xf>
    <xf numFmtId="0" fontId="9" fillId="4" borderId="25" xfId="0" applyFont="1" applyFill="1" applyBorder="1" applyAlignment="1">
      <alignment horizontal="center" wrapText="1"/>
    </xf>
    <xf numFmtId="0" fontId="0" fillId="0" borderId="27" xfId="0" applyBorder="1" applyAlignment="1">
      <alignment wrapText="1"/>
    </xf>
    <xf numFmtId="0" fontId="9" fillId="4" borderId="25" xfId="0" applyFont="1" applyFill="1" applyBorder="1" applyAlignment="1">
      <alignment horizontal="center" wrapText="1" shrinkToFit="1"/>
    </xf>
    <xf numFmtId="0" fontId="0" fillId="0" borderId="27" xfId="0" applyBorder="1" applyAlignment="1">
      <alignment horizontal="center" wrapText="1"/>
    </xf>
    <xf numFmtId="0" fontId="6" fillId="5" borderId="0" xfId="0" applyFont="1" applyFill="1" applyBorder="1" applyAlignment="1">
      <alignment horizontal="center"/>
    </xf>
    <xf numFmtId="0" fontId="1" fillId="5" borderId="0" xfId="0" applyFont="1" applyFill="1" applyAlignment="1"/>
    <xf numFmtId="0" fontId="6" fillId="4" borderId="0" xfId="0" applyFont="1" applyFill="1" applyBorder="1" applyAlignment="1">
      <alignment horizontal="center"/>
    </xf>
    <xf numFmtId="0" fontId="6" fillId="0" borderId="0" xfId="0" applyFont="1" applyFill="1" applyBorder="1" applyAlignment="1">
      <alignment horizontal="center"/>
    </xf>
    <xf numFmtId="0" fontId="0" fillId="5" borderId="0" xfId="0" applyFill="1" applyBorder="1" applyAlignment="1">
      <alignment horizontal="center"/>
    </xf>
    <xf numFmtId="0" fontId="0" fillId="0" borderId="0" xfId="0" applyAlignment="1">
      <alignment horizontal="center"/>
    </xf>
    <xf numFmtId="0" fontId="0" fillId="4" borderId="0" xfId="0" applyFill="1" applyBorder="1" applyAlignment="1">
      <alignment horizontal="center"/>
    </xf>
    <xf numFmtId="0" fontId="20" fillId="0" borderId="0" xfId="0" applyFont="1" applyFill="1" applyBorder="1" applyAlignment="1">
      <alignment horizontal="center"/>
    </xf>
    <xf numFmtId="0" fontId="11" fillId="4" borderId="0" xfId="0" applyFont="1" applyFill="1" applyBorder="1" applyAlignment="1">
      <alignment horizontal="center"/>
    </xf>
    <xf numFmtId="0" fontId="6" fillId="4" borderId="0" xfId="0" applyFont="1" applyFill="1" applyBorder="1" applyAlignment="1"/>
    <xf numFmtId="0" fontId="1" fillId="4" borderId="0" xfId="0" applyFont="1" applyFill="1" applyBorder="1" applyAlignment="1"/>
    <xf numFmtId="0" fontId="11" fillId="4" borderId="0" xfId="0" applyFont="1" applyFill="1" applyBorder="1" applyAlignment="1"/>
    <xf numFmtId="0" fontId="15" fillId="0" borderId="0" xfId="0" applyFont="1" applyAlignment="1">
      <alignment wrapText="1"/>
    </xf>
    <xf numFmtId="0" fontId="16" fillId="0" borderId="0" xfId="0" applyFont="1" applyAlignment="1"/>
    <xf numFmtId="0" fontId="15" fillId="0" borderId="0" xfId="0" applyFont="1" applyFill="1" applyBorder="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31"/>
  <sheetViews>
    <sheetView topLeftCell="A13" workbookViewId="0">
      <selection activeCell="B22" sqref="B22"/>
    </sheetView>
  </sheetViews>
  <sheetFormatPr defaultColWidth="9.140625" defaultRowHeight="15" x14ac:dyDescent="0.25"/>
  <cols>
    <col min="1" max="1" width="14" style="357" customWidth="1"/>
    <col min="2" max="2" width="79.140625" style="357" customWidth="1"/>
    <col min="3" max="16384" width="9.140625" style="357"/>
  </cols>
  <sheetData>
    <row r="1" spans="1:2" ht="31.5" x14ac:dyDescent="0.25">
      <c r="A1" s="355" t="s">
        <v>419</v>
      </c>
      <c r="B1" s="356"/>
    </row>
    <row r="2" spans="1:2" x14ac:dyDescent="0.25">
      <c r="A2" s="368" t="s">
        <v>430</v>
      </c>
      <c r="B2" s="368"/>
    </row>
    <row r="4" spans="1:2" ht="60" x14ac:dyDescent="0.25">
      <c r="A4" s="363" t="s">
        <v>414</v>
      </c>
      <c r="B4" s="365" t="s">
        <v>425</v>
      </c>
    </row>
    <row r="5" spans="1:2" ht="45" x14ac:dyDescent="0.25">
      <c r="A5" s="364" t="s">
        <v>415</v>
      </c>
      <c r="B5" s="365" t="s">
        <v>426</v>
      </c>
    </row>
    <row r="6" spans="1:2" ht="45" x14ac:dyDescent="0.25">
      <c r="A6" s="363" t="s">
        <v>416</v>
      </c>
      <c r="B6" s="365" t="s">
        <v>431</v>
      </c>
    </row>
    <row r="7" spans="1:2" ht="91.5" customHeight="1" x14ac:dyDescent="0.25">
      <c r="A7" s="363" t="s">
        <v>417</v>
      </c>
      <c r="B7" s="365" t="s">
        <v>432</v>
      </c>
    </row>
    <row r="8" spans="1:2" ht="105" x14ac:dyDescent="0.25">
      <c r="A8" s="364" t="s">
        <v>421</v>
      </c>
      <c r="B8" s="365" t="s">
        <v>433</v>
      </c>
    </row>
    <row r="9" spans="1:2" ht="270" x14ac:dyDescent="0.25">
      <c r="A9" s="363" t="s">
        <v>422</v>
      </c>
      <c r="B9" s="365" t="s">
        <v>435</v>
      </c>
    </row>
    <row r="10" spans="1:2" ht="151.5" customHeight="1" x14ac:dyDescent="0.25">
      <c r="A10" s="364" t="s">
        <v>423</v>
      </c>
      <c r="B10" s="365" t="s">
        <v>434</v>
      </c>
    </row>
    <row r="11" spans="1:2" ht="151.5" customHeight="1" x14ac:dyDescent="0.25">
      <c r="A11" s="364"/>
      <c r="B11" s="365" t="s">
        <v>420</v>
      </c>
    </row>
    <row r="12" spans="1:2" ht="135" x14ac:dyDescent="0.25">
      <c r="A12" s="364" t="s">
        <v>424</v>
      </c>
      <c r="B12" s="365" t="s">
        <v>418</v>
      </c>
    </row>
    <row r="13" spans="1:2" x14ac:dyDescent="0.25">
      <c r="A13" s="363"/>
    </row>
    <row r="14" spans="1:2" ht="31.5" x14ac:dyDescent="0.25">
      <c r="A14" s="355" t="s">
        <v>413</v>
      </c>
      <c r="B14" s="356"/>
    </row>
    <row r="15" spans="1:2" x14ac:dyDescent="0.25">
      <c r="A15" s="358"/>
    </row>
    <row r="16" spans="1:2" s="359" customFormat="1" x14ac:dyDescent="0.25">
      <c r="A16" s="360" t="s">
        <v>411</v>
      </c>
      <c r="B16" s="360" t="s">
        <v>412</v>
      </c>
    </row>
    <row r="17" spans="1:2" s="359" customFormat="1" x14ac:dyDescent="0.25">
      <c r="A17" s="361" t="s">
        <v>381</v>
      </c>
      <c r="B17" s="362" t="s">
        <v>382</v>
      </c>
    </row>
    <row r="18" spans="1:2" s="359" customFormat="1" ht="75" x14ac:dyDescent="0.25">
      <c r="A18" s="361" t="s">
        <v>383</v>
      </c>
      <c r="B18" s="362" t="s">
        <v>384</v>
      </c>
    </row>
    <row r="19" spans="1:2" s="359" customFormat="1" ht="75" x14ac:dyDescent="0.25">
      <c r="A19" s="361" t="s">
        <v>385</v>
      </c>
      <c r="B19" s="362" t="s">
        <v>386</v>
      </c>
    </row>
    <row r="20" spans="1:2" s="359" customFormat="1" ht="75" x14ac:dyDescent="0.25">
      <c r="A20" s="361" t="s">
        <v>387</v>
      </c>
      <c r="B20" s="362" t="s">
        <v>388</v>
      </c>
    </row>
    <row r="21" spans="1:2" s="359" customFormat="1" ht="60" x14ac:dyDescent="0.25">
      <c r="A21" s="361" t="s">
        <v>389</v>
      </c>
      <c r="B21" s="362" t="s">
        <v>390</v>
      </c>
    </row>
    <row r="22" spans="1:2" s="359" customFormat="1" ht="60" x14ac:dyDescent="0.25">
      <c r="A22" s="361" t="s">
        <v>391</v>
      </c>
      <c r="B22" s="362" t="s">
        <v>392</v>
      </c>
    </row>
    <row r="23" spans="1:2" s="359" customFormat="1" ht="135" x14ac:dyDescent="0.25">
      <c r="A23" s="361" t="s">
        <v>393</v>
      </c>
      <c r="B23" s="362" t="s">
        <v>394</v>
      </c>
    </row>
    <row r="24" spans="1:2" s="359" customFormat="1" ht="105" x14ac:dyDescent="0.25">
      <c r="A24" s="361" t="s">
        <v>395</v>
      </c>
      <c r="B24" s="362" t="s">
        <v>396</v>
      </c>
    </row>
    <row r="25" spans="1:2" s="359" customFormat="1" ht="45" x14ac:dyDescent="0.25">
      <c r="A25" s="361" t="s">
        <v>397</v>
      </c>
      <c r="B25" s="362" t="s">
        <v>398</v>
      </c>
    </row>
    <row r="26" spans="1:2" s="359" customFormat="1" ht="30" x14ac:dyDescent="0.25">
      <c r="A26" s="361" t="s">
        <v>399</v>
      </c>
      <c r="B26" s="362" t="s">
        <v>400</v>
      </c>
    </row>
    <row r="27" spans="1:2" s="359" customFormat="1" x14ac:dyDescent="0.25">
      <c r="A27" s="361" t="s">
        <v>401</v>
      </c>
      <c r="B27" s="362" t="s">
        <v>402</v>
      </c>
    </row>
    <row r="28" spans="1:2" s="359" customFormat="1" ht="30" x14ac:dyDescent="0.25">
      <c r="A28" s="361" t="s">
        <v>403</v>
      </c>
      <c r="B28" s="362" t="s">
        <v>404</v>
      </c>
    </row>
    <row r="29" spans="1:2" s="359" customFormat="1" ht="30" x14ac:dyDescent="0.25">
      <c r="A29" s="361" t="s">
        <v>405</v>
      </c>
      <c r="B29" s="362" t="s">
        <v>406</v>
      </c>
    </row>
    <row r="30" spans="1:2" s="359" customFormat="1" ht="60" x14ac:dyDescent="0.25">
      <c r="A30" s="361" t="s">
        <v>407</v>
      </c>
      <c r="B30" s="362" t="s">
        <v>408</v>
      </c>
    </row>
    <row r="31" spans="1:2" s="359" customFormat="1" ht="45" x14ac:dyDescent="0.25">
      <c r="A31" s="361" t="s">
        <v>409</v>
      </c>
      <c r="B31" s="362" t="s">
        <v>410</v>
      </c>
    </row>
  </sheetData>
  <mergeCells count="1">
    <mergeCell ref="A2:B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J68"/>
  <sheetViews>
    <sheetView zoomScale="90" zoomScaleNormal="90" workbookViewId="0">
      <selection activeCell="F2" sqref="F2:J68"/>
    </sheetView>
  </sheetViews>
  <sheetFormatPr defaultColWidth="9.140625" defaultRowHeight="12.75" x14ac:dyDescent="0.2"/>
  <cols>
    <col min="1" max="1" width="32.5703125" style="51" customWidth="1"/>
    <col min="2" max="2" width="31.28515625" style="51" customWidth="1"/>
    <col min="3" max="3" width="8.85546875" style="51" customWidth="1"/>
    <col min="4" max="4" width="9.5703125" style="51" customWidth="1"/>
    <col min="5" max="5" width="7.85546875" style="51" customWidth="1"/>
    <col min="6" max="6" width="32.42578125" style="51" customWidth="1"/>
    <col min="7" max="7" width="18.140625" style="58" customWidth="1"/>
    <col min="8" max="10" width="9.140625" style="58"/>
    <col min="11" max="16384" width="9.140625" style="51"/>
  </cols>
  <sheetData>
    <row r="1" spans="1:10" ht="15" x14ac:dyDescent="0.25">
      <c r="A1" s="57" t="s">
        <v>235</v>
      </c>
      <c r="B1" s="57"/>
      <c r="C1" s="393" t="s">
        <v>342</v>
      </c>
      <c r="D1" s="397"/>
      <c r="E1" s="397"/>
      <c r="F1" s="57"/>
      <c r="G1" s="56"/>
      <c r="H1" s="393" t="s">
        <v>299</v>
      </c>
      <c r="I1" s="398"/>
      <c r="J1" s="393"/>
    </row>
    <row r="2" spans="1:10" x14ac:dyDescent="0.2">
      <c r="A2" s="152" t="s">
        <v>62</v>
      </c>
      <c r="B2" s="152" t="s">
        <v>160</v>
      </c>
      <c r="C2" s="153" t="s">
        <v>169</v>
      </c>
      <c r="D2" s="154" t="s">
        <v>170</v>
      </c>
      <c r="E2" s="154" t="s">
        <v>171</v>
      </c>
      <c r="F2" s="152" t="s">
        <v>61</v>
      </c>
      <c r="G2" s="154" t="s">
        <v>0</v>
      </c>
      <c r="H2" s="153" t="s">
        <v>169</v>
      </c>
      <c r="I2" s="154" t="s">
        <v>170</v>
      </c>
      <c r="J2" s="154" t="s">
        <v>171</v>
      </c>
    </row>
    <row r="3" spans="1:10" ht="14.25" customHeight="1" x14ac:dyDescent="0.2">
      <c r="A3" s="51" t="s">
        <v>64</v>
      </c>
      <c r="B3" s="51" t="s">
        <v>172</v>
      </c>
      <c r="C3" s="243">
        <v>15</v>
      </c>
      <c r="D3" s="246">
        <v>30</v>
      </c>
      <c r="E3" s="243">
        <v>60</v>
      </c>
      <c r="F3" s="51" t="s">
        <v>256</v>
      </c>
      <c r="G3" s="58" t="s">
        <v>125</v>
      </c>
      <c r="H3" s="112">
        <f>'13. Pro-forma Costs'!$I$38*C3</f>
        <v>4.6806167424242426</v>
      </c>
      <c r="I3" s="112">
        <f>'13. Pro-forma Costs'!$I$38*D3</f>
        <v>9.3612334848484853</v>
      </c>
      <c r="J3" s="112">
        <f>'13. Pro-forma Costs'!$I$38*E3</f>
        <v>18.722466969696971</v>
      </c>
    </row>
    <row r="4" spans="1:10" ht="14.25" customHeight="1" thickBot="1" x14ac:dyDescent="0.25">
      <c r="A4" s="61" t="s">
        <v>64</v>
      </c>
      <c r="B4" s="61" t="s">
        <v>260</v>
      </c>
      <c r="C4" s="244">
        <v>5</v>
      </c>
      <c r="D4" s="248">
        <v>10</v>
      </c>
      <c r="E4" s="244">
        <v>15</v>
      </c>
      <c r="F4" s="61" t="s">
        <v>259</v>
      </c>
      <c r="G4" s="64" t="s">
        <v>101</v>
      </c>
      <c r="H4" s="118">
        <f>'13. Pro-forma Costs'!$I$3*'9. UNICEF (as-is)'!C4</f>
        <v>14.069088939393939</v>
      </c>
      <c r="I4" s="118">
        <f>'13. Pro-forma Costs'!$I$3*'9. UNICEF (as-is)'!D4</f>
        <v>28.138177878787879</v>
      </c>
      <c r="J4" s="118">
        <f>'13. Pro-forma Costs'!$I$3*'9. UNICEF (as-is)'!E4</f>
        <v>42.207266818181814</v>
      </c>
    </row>
    <row r="5" spans="1:10" s="204" customFormat="1" ht="14.25" customHeight="1" thickTop="1" x14ac:dyDescent="0.2">
      <c r="A5" s="204" t="s">
        <v>305</v>
      </c>
      <c r="B5" s="205">
        <f>COUNTA(B3:B4)</f>
        <v>2</v>
      </c>
      <c r="C5" s="206"/>
      <c r="D5" s="206"/>
      <c r="E5" s="206"/>
      <c r="G5" s="205"/>
      <c r="H5" s="210">
        <f>SUM(H3:H4)</f>
        <v>18.749705681818181</v>
      </c>
      <c r="I5" s="210">
        <f>SUM(I3:I4)</f>
        <v>37.499411363636362</v>
      </c>
      <c r="J5" s="210">
        <f>SUM(J3:J4)</f>
        <v>60.929733787878789</v>
      </c>
    </row>
    <row r="6" spans="1:10" ht="14.25" customHeight="1" x14ac:dyDescent="0.2">
      <c r="C6" s="49"/>
      <c r="D6" s="50"/>
      <c r="E6" s="49"/>
      <c r="H6" s="112"/>
      <c r="I6" s="112"/>
      <c r="J6" s="112"/>
    </row>
    <row r="7" spans="1:10" x14ac:dyDescent="0.2">
      <c r="A7" s="67" t="s">
        <v>165</v>
      </c>
      <c r="B7" s="67" t="s">
        <v>84</v>
      </c>
      <c r="C7" s="242">
        <v>60</v>
      </c>
      <c r="D7" s="245">
        <v>120</v>
      </c>
      <c r="E7" s="242">
        <v>180</v>
      </c>
      <c r="F7" s="67" t="s">
        <v>256</v>
      </c>
      <c r="G7" s="70" t="s">
        <v>125</v>
      </c>
      <c r="H7" s="115">
        <f>'13. Pro-forma Costs'!$I$38*C7</f>
        <v>18.722466969696971</v>
      </c>
      <c r="I7" s="115">
        <f>'13. Pro-forma Costs'!$I$38*D7</f>
        <v>37.444933939393941</v>
      </c>
      <c r="J7" s="115">
        <f>'13. Pro-forma Costs'!$I$38*E7</f>
        <v>56.167400909090908</v>
      </c>
    </row>
    <row r="8" spans="1:10" x14ac:dyDescent="0.2">
      <c r="A8" s="51" t="s">
        <v>165</v>
      </c>
      <c r="B8" s="51" t="s">
        <v>181</v>
      </c>
      <c r="C8" s="243">
        <v>15</v>
      </c>
      <c r="D8" s="246">
        <v>30</v>
      </c>
      <c r="E8" s="243">
        <v>45</v>
      </c>
      <c r="F8" s="51" t="s">
        <v>256</v>
      </c>
      <c r="G8" s="58" t="s">
        <v>125</v>
      </c>
      <c r="H8" s="112">
        <f>'13. Pro-forma Costs'!$I$38*C8</f>
        <v>4.6806167424242426</v>
      </c>
      <c r="I8" s="112">
        <f>'13. Pro-forma Costs'!$I$38*D8</f>
        <v>9.3612334848484853</v>
      </c>
      <c r="J8" s="112">
        <f>'13. Pro-forma Costs'!$I$38*E8</f>
        <v>14.041850227272727</v>
      </c>
    </row>
    <row r="9" spans="1:10" x14ac:dyDescent="0.2">
      <c r="A9" s="51" t="s">
        <v>165</v>
      </c>
      <c r="B9" s="51" t="s">
        <v>180</v>
      </c>
      <c r="C9" s="243">
        <v>30</v>
      </c>
      <c r="D9" s="246">
        <v>60</v>
      </c>
      <c r="E9" s="243">
        <v>120</v>
      </c>
      <c r="F9" s="51" t="s">
        <v>256</v>
      </c>
      <c r="G9" s="58" t="s">
        <v>125</v>
      </c>
      <c r="H9" s="112">
        <f>'13. Pro-forma Costs'!$I$38*C9</f>
        <v>9.3612334848484853</v>
      </c>
      <c r="I9" s="112">
        <f>'13. Pro-forma Costs'!$I$38*D9</f>
        <v>18.722466969696971</v>
      </c>
      <c r="J9" s="112">
        <f>'13. Pro-forma Costs'!$I$38*E9</f>
        <v>37.444933939393941</v>
      </c>
    </row>
    <row r="10" spans="1:10" x14ac:dyDescent="0.2">
      <c r="A10" s="51" t="s">
        <v>165</v>
      </c>
      <c r="B10" s="51" t="s">
        <v>88</v>
      </c>
      <c r="C10" s="243">
        <v>5</v>
      </c>
      <c r="D10" s="246">
        <v>10</v>
      </c>
      <c r="E10" s="243">
        <v>15</v>
      </c>
      <c r="F10" s="51" t="s">
        <v>256</v>
      </c>
      <c r="G10" s="58" t="s">
        <v>125</v>
      </c>
      <c r="H10" s="112">
        <f>'13. Pro-forma Costs'!$I$38*C10</f>
        <v>1.5602055808080808</v>
      </c>
      <c r="I10" s="112">
        <f>'13. Pro-forma Costs'!$I$38*D10</f>
        <v>3.1204111616161616</v>
      </c>
      <c r="J10" s="112">
        <f>'13. Pro-forma Costs'!$I$38*E10</f>
        <v>4.6806167424242426</v>
      </c>
    </row>
    <row r="11" spans="1:10" x14ac:dyDescent="0.2">
      <c r="A11" s="51" t="s">
        <v>165</v>
      </c>
      <c r="B11" s="51" t="s">
        <v>173</v>
      </c>
      <c r="C11" s="243">
        <v>15</v>
      </c>
      <c r="D11" s="246">
        <v>20</v>
      </c>
      <c r="E11" s="243">
        <v>30</v>
      </c>
      <c r="F11" s="51" t="s">
        <v>65</v>
      </c>
      <c r="G11" s="58" t="s">
        <v>302</v>
      </c>
      <c r="H11" s="112">
        <f>('13. Pro-forma Costs'!$I$42+'13. Pro-forma Costs'!$I$38+'13. Pro-forma Costs'!$I$15)*C11</f>
        <v>17.908891742424242</v>
      </c>
      <c r="I11" s="112">
        <f>('13. Pro-forma Costs'!$I$42+'13. Pro-forma Costs'!$I$38+'13. Pro-forma Costs'!$I$15)*D11</f>
        <v>23.878522323232325</v>
      </c>
      <c r="J11" s="112">
        <f>('13. Pro-forma Costs'!$I$42+'13. Pro-forma Costs'!$I$38+'13. Pro-forma Costs'!$I$15)*E11</f>
        <v>35.817783484848484</v>
      </c>
    </row>
    <row r="12" spans="1:10" x14ac:dyDescent="0.2">
      <c r="A12" s="51" t="s">
        <v>165</v>
      </c>
      <c r="B12" s="51" t="s">
        <v>224</v>
      </c>
      <c r="C12" s="243">
        <v>90</v>
      </c>
      <c r="D12" s="246">
        <v>120</v>
      </c>
      <c r="E12" s="243">
        <v>150</v>
      </c>
      <c r="F12" s="51" t="s">
        <v>65</v>
      </c>
      <c r="G12" s="58" t="s">
        <v>302</v>
      </c>
      <c r="H12" s="112">
        <f>('13. Pro-forma Costs'!$I$42+'13. Pro-forma Costs'!$I$38+'13. Pro-forma Costs'!$I$15)*C12</f>
        <v>107.45335045454546</v>
      </c>
      <c r="I12" s="112">
        <f>('13. Pro-forma Costs'!$I$42+'13. Pro-forma Costs'!$I$38+'13. Pro-forma Costs'!$I$15)*D12</f>
        <v>143.27113393939393</v>
      </c>
      <c r="J12" s="112">
        <f>('13. Pro-forma Costs'!$I$42+'13. Pro-forma Costs'!$I$38+'13. Pro-forma Costs'!$I$15)*E12</f>
        <v>179.08891742424242</v>
      </c>
    </row>
    <row r="13" spans="1:10" x14ac:dyDescent="0.2">
      <c r="A13" s="51" t="s">
        <v>165</v>
      </c>
      <c r="B13" s="51" t="s">
        <v>66</v>
      </c>
      <c r="C13" s="243">
        <v>15</v>
      </c>
      <c r="D13" s="246">
        <v>30</v>
      </c>
      <c r="E13" s="243">
        <v>60</v>
      </c>
      <c r="F13" s="51" t="s">
        <v>256</v>
      </c>
      <c r="G13" s="58" t="s">
        <v>125</v>
      </c>
      <c r="H13" s="112">
        <f>'13. Pro-forma Costs'!$I$38*C13</f>
        <v>4.6806167424242426</v>
      </c>
      <c r="I13" s="112">
        <f>'13. Pro-forma Costs'!$I$38*D13</f>
        <v>9.3612334848484853</v>
      </c>
      <c r="J13" s="112">
        <f>'13. Pro-forma Costs'!$I$38*E13</f>
        <v>18.722466969696971</v>
      </c>
    </row>
    <row r="14" spans="1:10" ht="13.5" thickBot="1" x14ac:dyDescent="0.25">
      <c r="A14" s="61" t="s">
        <v>165</v>
      </c>
      <c r="B14" s="61" t="s">
        <v>67</v>
      </c>
      <c r="C14" s="244">
        <v>15</v>
      </c>
      <c r="D14" s="248">
        <v>20</v>
      </c>
      <c r="E14" s="244">
        <v>25</v>
      </c>
      <c r="F14" s="61" t="s">
        <v>65</v>
      </c>
      <c r="G14" s="64" t="s">
        <v>302</v>
      </c>
      <c r="H14" s="118">
        <f>('13. Pro-forma Costs'!$I$42+'13. Pro-forma Costs'!$I$38+'13. Pro-forma Costs'!$I$15)*C14</f>
        <v>17.908891742424242</v>
      </c>
      <c r="I14" s="118">
        <f>('13. Pro-forma Costs'!$I$42+'13. Pro-forma Costs'!$I$38+'13. Pro-forma Costs'!$I$15)*D14</f>
        <v>23.878522323232325</v>
      </c>
      <c r="J14" s="118">
        <f>('13. Pro-forma Costs'!$I$42+'13. Pro-forma Costs'!$I$38+'13. Pro-forma Costs'!$I$15)*E14</f>
        <v>29.848152904040404</v>
      </c>
    </row>
    <row r="15" spans="1:10" s="204" customFormat="1" ht="13.5" thickTop="1" x14ac:dyDescent="0.2">
      <c r="A15" s="204" t="s">
        <v>305</v>
      </c>
      <c r="B15" s="205">
        <f>COUNTA(B7:B14)</f>
        <v>8</v>
      </c>
      <c r="C15" s="206"/>
      <c r="D15" s="206"/>
      <c r="E15" s="206"/>
      <c r="G15" s="205"/>
      <c r="H15" s="210">
        <f>SUM(H7:H14)</f>
        <v>182.27627345959593</v>
      </c>
      <c r="I15" s="210">
        <f t="shared" ref="I15:J15" si="0">SUM(I7:I14)</f>
        <v>269.03845762626264</v>
      </c>
      <c r="J15" s="210">
        <f t="shared" si="0"/>
        <v>375.81212260101017</v>
      </c>
    </row>
    <row r="16" spans="1:10" x14ac:dyDescent="0.2">
      <c r="C16" s="49"/>
      <c r="D16" s="50"/>
      <c r="E16" s="49"/>
      <c r="H16" s="112"/>
      <c r="I16" s="112"/>
      <c r="J16" s="112"/>
    </row>
    <row r="17" spans="1:10" x14ac:dyDescent="0.2">
      <c r="A17" s="67" t="s">
        <v>166</v>
      </c>
      <c r="B17" s="67" t="s">
        <v>85</v>
      </c>
      <c r="C17" s="242">
        <v>120</v>
      </c>
      <c r="D17" s="245">
        <v>180</v>
      </c>
      <c r="E17" s="242">
        <v>240</v>
      </c>
      <c r="F17" s="67" t="s">
        <v>256</v>
      </c>
      <c r="G17" s="70" t="s">
        <v>125</v>
      </c>
      <c r="H17" s="115">
        <f>'13. Pro-forma Costs'!$I$38*C17</f>
        <v>37.444933939393941</v>
      </c>
      <c r="I17" s="115">
        <f>'13. Pro-forma Costs'!$I$38*D17</f>
        <v>56.167400909090908</v>
      </c>
      <c r="J17" s="115">
        <f>'13. Pro-forma Costs'!$I$38*E17</f>
        <v>74.889867878787882</v>
      </c>
    </row>
    <row r="18" spans="1:10" x14ac:dyDescent="0.2">
      <c r="A18" s="51" t="s">
        <v>166</v>
      </c>
      <c r="B18" s="51" t="s">
        <v>360</v>
      </c>
      <c r="C18" s="243">
        <v>30</v>
      </c>
      <c r="D18" s="246">
        <v>60</v>
      </c>
      <c r="E18" s="243">
        <v>90</v>
      </c>
      <c r="F18" s="51" t="s">
        <v>256</v>
      </c>
      <c r="G18" s="58" t="s">
        <v>125</v>
      </c>
      <c r="H18" s="112">
        <f>'13. Pro-forma Costs'!$I$38*C18</f>
        <v>9.3612334848484853</v>
      </c>
      <c r="I18" s="112">
        <f>'13. Pro-forma Costs'!$I$38*D18</f>
        <v>18.722466969696971</v>
      </c>
      <c r="J18" s="112">
        <f>'13. Pro-forma Costs'!$I$38*E18</f>
        <v>28.083700454545454</v>
      </c>
    </row>
    <row r="19" spans="1:10" x14ac:dyDescent="0.2">
      <c r="A19" s="51" t="s">
        <v>166</v>
      </c>
      <c r="B19" s="51" t="s">
        <v>89</v>
      </c>
      <c r="C19" s="243">
        <v>5</v>
      </c>
      <c r="D19" s="246">
        <v>10</v>
      </c>
      <c r="E19" s="243">
        <v>15</v>
      </c>
      <c r="F19" s="51" t="s">
        <v>256</v>
      </c>
      <c r="G19" s="58" t="s">
        <v>125</v>
      </c>
      <c r="H19" s="112">
        <f>'13. Pro-forma Costs'!$I$38*C19</f>
        <v>1.5602055808080808</v>
      </c>
      <c r="I19" s="112">
        <f>'13. Pro-forma Costs'!$I$38*D19</f>
        <v>3.1204111616161616</v>
      </c>
      <c r="J19" s="112">
        <f>'13. Pro-forma Costs'!$I$38*E19</f>
        <v>4.6806167424242426</v>
      </c>
    </row>
    <row r="20" spans="1:10" x14ac:dyDescent="0.2">
      <c r="A20" s="51" t="s">
        <v>166</v>
      </c>
      <c r="B20" s="51" t="s">
        <v>174</v>
      </c>
      <c r="C20" s="243">
        <v>15</v>
      </c>
      <c r="D20" s="246">
        <v>20</v>
      </c>
      <c r="E20" s="243">
        <v>30</v>
      </c>
      <c r="F20" s="51" t="s">
        <v>65</v>
      </c>
      <c r="G20" s="58" t="s">
        <v>302</v>
      </c>
      <c r="H20" s="112">
        <f>('13. Pro-forma Costs'!$I$42+'13. Pro-forma Costs'!$I$38+'13. Pro-forma Costs'!$I$15)*C20</f>
        <v>17.908891742424242</v>
      </c>
      <c r="I20" s="112">
        <f>('13. Pro-forma Costs'!$I$42+'13. Pro-forma Costs'!$I$38+'13. Pro-forma Costs'!$I$15)*D20</f>
        <v>23.878522323232325</v>
      </c>
      <c r="J20" s="112">
        <f>('13. Pro-forma Costs'!$I$42+'13. Pro-forma Costs'!$I$38+'13. Pro-forma Costs'!$I$15)*E20</f>
        <v>35.817783484848484</v>
      </c>
    </row>
    <row r="21" spans="1:10" x14ac:dyDescent="0.2">
      <c r="A21" s="51" t="s">
        <v>166</v>
      </c>
      <c r="B21" s="51" t="s">
        <v>87</v>
      </c>
      <c r="C21" s="243">
        <v>60</v>
      </c>
      <c r="D21" s="246">
        <v>90</v>
      </c>
      <c r="E21" s="243">
        <v>120</v>
      </c>
      <c r="F21" s="51" t="s">
        <v>65</v>
      </c>
      <c r="G21" s="58" t="s">
        <v>302</v>
      </c>
      <c r="H21" s="112">
        <f>('13. Pro-forma Costs'!$I$42+'13. Pro-forma Costs'!$I$38+'13. Pro-forma Costs'!$I$15)*C21</f>
        <v>71.635566969696967</v>
      </c>
      <c r="I21" s="112">
        <f>('13. Pro-forma Costs'!$I$42+'13. Pro-forma Costs'!$I$38+'13. Pro-forma Costs'!$I$15)*D21</f>
        <v>107.45335045454546</v>
      </c>
      <c r="J21" s="112">
        <f>('13. Pro-forma Costs'!$I$42+'13. Pro-forma Costs'!$I$38+'13. Pro-forma Costs'!$I$15)*E21</f>
        <v>143.27113393939393</v>
      </c>
    </row>
    <row r="22" spans="1:10" x14ac:dyDescent="0.2">
      <c r="A22" s="51" t="s">
        <v>166</v>
      </c>
      <c r="B22" s="51" t="s">
        <v>68</v>
      </c>
      <c r="C22" s="243">
        <v>15</v>
      </c>
      <c r="D22" s="246">
        <v>30</v>
      </c>
      <c r="E22" s="243">
        <v>45</v>
      </c>
      <c r="F22" s="51" t="s">
        <v>65</v>
      </c>
      <c r="G22" s="58" t="s">
        <v>302</v>
      </c>
      <c r="H22" s="112">
        <f>('13. Pro-forma Costs'!$I$42+'13. Pro-forma Costs'!$I$38+'13. Pro-forma Costs'!$I$15)*C22</f>
        <v>17.908891742424242</v>
      </c>
      <c r="I22" s="112">
        <f>('13. Pro-forma Costs'!$I$42+'13. Pro-forma Costs'!$I$38+'13. Pro-forma Costs'!$I$15)*D22</f>
        <v>35.817783484848484</v>
      </c>
      <c r="J22" s="112">
        <f>('13. Pro-forma Costs'!$I$42+'13. Pro-forma Costs'!$I$38+'13. Pro-forma Costs'!$I$15)*E22</f>
        <v>53.726675227272729</v>
      </c>
    </row>
    <row r="23" spans="1:10" x14ac:dyDescent="0.2">
      <c r="A23" s="51" t="s">
        <v>166</v>
      </c>
      <c r="B23" s="51" t="s">
        <v>66</v>
      </c>
      <c r="C23" s="243">
        <v>30</v>
      </c>
      <c r="D23" s="246">
        <v>60</v>
      </c>
      <c r="E23" s="243">
        <v>90</v>
      </c>
      <c r="F23" s="51" t="s">
        <v>257</v>
      </c>
      <c r="G23" s="58" t="s">
        <v>131</v>
      </c>
      <c r="H23" s="112">
        <f>'13. Pro-forma Costs'!$I$42*C23</f>
        <v>7.4290000000000003</v>
      </c>
      <c r="I23" s="112">
        <f>'13. Pro-forma Costs'!$I$42*D23</f>
        <v>14.858000000000001</v>
      </c>
      <c r="J23" s="112">
        <f>'13. Pro-forma Costs'!$I$42*E23</f>
        <v>22.287000000000003</v>
      </c>
    </row>
    <row r="24" spans="1:10" ht="13.5" thickBot="1" x14ac:dyDescent="0.25">
      <c r="A24" s="61" t="s">
        <v>166</v>
      </c>
      <c r="B24" s="61" t="s">
        <v>67</v>
      </c>
      <c r="C24" s="244">
        <v>15</v>
      </c>
      <c r="D24" s="248">
        <v>20</v>
      </c>
      <c r="E24" s="244">
        <v>25</v>
      </c>
      <c r="F24" s="61" t="s">
        <v>65</v>
      </c>
      <c r="G24" s="64" t="s">
        <v>302</v>
      </c>
      <c r="H24" s="118">
        <f>('13. Pro-forma Costs'!$I$42+'13. Pro-forma Costs'!$I$38+'13. Pro-forma Costs'!$I$15)*C24</f>
        <v>17.908891742424242</v>
      </c>
      <c r="I24" s="118">
        <f>('13. Pro-forma Costs'!$I$42+'13. Pro-forma Costs'!$I$38+'13. Pro-forma Costs'!$I$15)*D24</f>
        <v>23.878522323232325</v>
      </c>
      <c r="J24" s="118">
        <f>('13. Pro-forma Costs'!$I$42+'13. Pro-forma Costs'!$I$38+'13. Pro-forma Costs'!$I$15)*E24</f>
        <v>29.848152904040404</v>
      </c>
    </row>
    <row r="25" spans="1:10" s="204" customFormat="1" ht="13.5" thickTop="1" x14ac:dyDescent="0.2">
      <c r="A25" s="204" t="s">
        <v>305</v>
      </c>
      <c r="B25" s="205">
        <f>COUNTA(B17:B24)</f>
        <v>8</v>
      </c>
      <c r="C25" s="206"/>
      <c r="D25" s="212"/>
      <c r="E25" s="206"/>
      <c r="G25" s="205"/>
      <c r="H25" s="210">
        <f>SUM(H17:H24)</f>
        <v>181.1576152020202</v>
      </c>
      <c r="I25" s="210">
        <f t="shared" ref="I25:J25" si="1">SUM(I17:I24)</f>
        <v>283.89645762626265</v>
      </c>
      <c r="J25" s="210">
        <f t="shared" si="1"/>
        <v>392.6049306313131</v>
      </c>
    </row>
    <row r="26" spans="1:10" x14ac:dyDescent="0.2">
      <c r="C26" s="49"/>
      <c r="D26" s="50"/>
      <c r="E26" s="49"/>
      <c r="H26" s="112"/>
      <c r="I26" s="112"/>
      <c r="J26" s="112"/>
    </row>
    <row r="27" spans="1:10" x14ac:dyDescent="0.2">
      <c r="A27" s="67" t="s">
        <v>167</v>
      </c>
      <c r="B27" s="67" t="s">
        <v>86</v>
      </c>
      <c r="C27" s="242">
        <v>60</v>
      </c>
      <c r="D27" s="245">
        <v>90</v>
      </c>
      <c r="E27" s="242">
        <v>120</v>
      </c>
      <c r="F27" s="67" t="s">
        <v>256</v>
      </c>
      <c r="G27" s="70" t="s">
        <v>125</v>
      </c>
      <c r="H27" s="115">
        <f>'13. Pro-forma Costs'!$I$38*C27</f>
        <v>18.722466969696971</v>
      </c>
      <c r="I27" s="115">
        <f>'13. Pro-forma Costs'!$I$38*D27</f>
        <v>28.083700454545454</v>
      </c>
      <c r="J27" s="115">
        <f>'13. Pro-forma Costs'!$I$38*E27</f>
        <v>37.444933939393941</v>
      </c>
    </row>
    <row r="28" spans="1:10" x14ac:dyDescent="0.2">
      <c r="A28" s="51" t="s">
        <v>167</v>
      </c>
      <c r="B28" s="51" t="s">
        <v>158</v>
      </c>
      <c r="C28" s="243">
        <v>30</v>
      </c>
      <c r="D28" s="246">
        <v>60</v>
      </c>
      <c r="E28" s="243">
        <v>90</v>
      </c>
      <c r="F28" s="51" t="s">
        <v>256</v>
      </c>
      <c r="G28" s="58" t="s">
        <v>125</v>
      </c>
      <c r="H28" s="112">
        <f>'13. Pro-forma Costs'!$I$38*C28</f>
        <v>9.3612334848484853</v>
      </c>
      <c r="I28" s="112">
        <f>'13. Pro-forma Costs'!$I$38*D28</f>
        <v>18.722466969696971</v>
      </c>
      <c r="J28" s="112">
        <f>'13. Pro-forma Costs'!$I$38*E28</f>
        <v>28.083700454545454</v>
      </c>
    </row>
    <row r="29" spans="1:10" x14ac:dyDescent="0.2">
      <c r="A29" s="51" t="s">
        <v>167</v>
      </c>
      <c r="B29" s="51" t="s">
        <v>90</v>
      </c>
      <c r="C29" s="243">
        <v>15</v>
      </c>
      <c r="D29" s="246">
        <v>20</v>
      </c>
      <c r="E29" s="243">
        <v>30</v>
      </c>
      <c r="F29" s="51" t="s">
        <v>256</v>
      </c>
      <c r="G29" s="58" t="s">
        <v>125</v>
      </c>
      <c r="H29" s="112">
        <f>'13. Pro-forma Costs'!$I$38*C29</f>
        <v>4.6806167424242426</v>
      </c>
      <c r="I29" s="112">
        <f>'13. Pro-forma Costs'!$I$38*D29</f>
        <v>6.2408223232323232</v>
      </c>
      <c r="J29" s="112">
        <f>'13. Pro-forma Costs'!$I$38*E29</f>
        <v>9.3612334848484853</v>
      </c>
    </row>
    <row r="30" spans="1:10" x14ac:dyDescent="0.2">
      <c r="A30" s="51" t="s">
        <v>167</v>
      </c>
      <c r="B30" s="51" t="s">
        <v>68</v>
      </c>
      <c r="C30" s="243">
        <v>20</v>
      </c>
      <c r="D30" s="246">
        <v>30</v>
      </c>
      <c r="E30" s="243">
        <v>40</v>
      </c>
      <c r="F30" s="51" t="s">
        <v>65</v>
      </c>
      <c r="G30" s="58" t="s">
        <v>302</v>
      </c>
      <c r="H30" s="112">
        <f>('13. Pro-forma Costs'!$I$42+'13. Pro-forma Costs'!$I$38+'13. Pro-forma Costs'!$I$15)*C30</f>
        <v>23.878522323232325</v>
      </c>
      <c r="I30" s="112">
        <f>('13. Pro-forma Costs'!$I$42+'13. Pro-forma Costs'!$I$38+'13. Pro-forma Costs'!$I$15)*D30</f>
        <v>35.817783484848484</v>
      </c>
      <c r="J30" s="112">
        <f>('13. Pro-forma Costs'!$I$42+'13. Pro-forma Costs'!$I$38+'13. Pro-forma Costs'!$I$15)*E30</f>
        <v>47.757044646464649</v>
      </c>
    </row>
    <row r="31" spans="1:10" x14ac:dyDescent="0.2">
      <c r="A31" s="51" t="s">
        <v>167</v>
      </c>
      <c r="B31" s="51" t="s">
        <v>66</v>
      </c>
      <c r="C31" s="243">
        <v>15</v>
      </c>
      <c r="D31" s="246">
        <v>30</v>
      </c>
      <c r="E31" s="243">
        <v>60</v>
      </c>
      <c r="F31" s="51" t="s">
        <v>257</v>
      </c>
      <c r="G31" s="58" t="s">
        <v>131</v>
      </c>
      <c r="H31" s="112">
        <f>'13. Pro-forma Costs'!$I$42*C31</f>
        <v>3.7145000000000001</v>
      </c>
      <c r="I31" s="112">
        <f>'13. Pro-forma Costs'!$I$42*D31</f>
        <v>7.4290000000000003</v>
      </c>
      <c r="J31" s="112">
        <f>'13. Pro-forma Costs'!$I$42*E31</f>
        <v>14.858000000000001</v>
      </c>
    </row>
    <row r="32" spans="1:10" ht="13.5" thickBot="1" x14ac:dyDescent="0.25">
      <c r="A32" s="61" t="s">
        <v>167</v>
      </c>
      <c r="B32" s="203" t="s">
        <v>67</v>
      </c>
      <c r="C32" s="244">
        <v>10</v>
      </c>
      <c r="D32" s="248">
        <v>15</v>
      </c>
      <c r="E32" s="244">
        <v>20</v>
      </c>
      <c r="F32" s="61" t="s">
        <v>65</v>
      </c>
      <c r="G32" s="64" t="s">
        <v>302</v>
      </c>
      <c r="H32" s="118">
        <f>('13. Pro-forma Costs'!$I$42+'13. Pro-forma Costs'!$I$38+'13. Pro-forma Costs'!$I$15)*C32</f>
        <v>11.939261161616162</v>
      </c>
      <c r="I32" s="118">
        <f>('13. Pro-forma Costs'!$I$42+'13. Pro-forma Costs'!$I$38+'13. Pro-forma Costs'!$I$15)*D32</f>
        <v>17.908891742424242</v>
      </c>
      <c r="J32" s="118">
        <f>('13. Pro-forma Costs'!$I$42+'13. Pro-forma Costs'!$I$38+'13. Pro-forma Costs'!$I$15)*E32</f>
        <v>23.878522323232325</v>
      </c>
    </row>
    <row r="33" spans="1:10" s="204" customFormat="1" ht="13.5" thickTop="1" x14ac:dyDescent="0.2">
      <c r="A33" s="204" t="s">
        <v>305</v>
      </c>
      <c r="B33" s="205">
        <f>COUNTA(B27:B32)</f>
        <v>6</v>
      </c>
      <c r="C33" s="206"/>
      <c r="D33" s="206"/>
      <c r="E33" s="206"/>
      <c r="G33" s="205"/>
      <c r="H33" s="210">
        <f>SUM(H27:H32)</f>
        <v>72.296600681818191</v>
      </c>
      <c r="I33" s="210">
        <f t="shared" ref="I33:J33" si="2">SUM(I27:I32)</f>
        <v>114.20266497474748</v>
      </c>
      <c r="J33" s="210">
        <f t="shared" si="2"/>
        <v>161.38343484848485</v>
      </c>
    </row>
    <row r="34" spans="1:10" x14ac:dyDescent="0.2">
      <c r="C34" s="49"/>
      <c r="D34" s="50"/>
      <c r="E34" s="49"/>
      <c r="H34" s="112"/>
      <c r="I34" s="112"/>
      <c r="J34" s="112"/>
    </row>
    <row r="35" spans="1:10" x14ac:dyDescent="0.2">
      <c r="A35" s="67" t="s">
        <v>159</v>
      </c>
      <c r="B35" s="67" t="s">
        <v>91</v>
      </c>
      <c r="C35" s="242">
        <v>30</v>
      </c>
      <c r="D35" s="245">
        <v>60</v>
      </c>
      <c r="E35" s="242">
        <v>90</v>
      </c>
      <c r="F35" s="67" t="s">
        <v>94</v>
      </c>
      <c r="G35" s="70" t="s">
        <v>125</v>
      </c>
      <c r="H35" s="115">
        <f>'13. Pro-forma Costs'!$I$38*C35</f>
        <v>9.3612334848484853</v>
      </c>
      <c r="I35" s="115">
        <f>'13. Pro-forma Costs'!$I$38*D35</f>
        <v>18.722466969696971</v>
      </c>
      <c r="J35" s="115">
        <f>'13. Pro-forma Costs'!$I$38*E35</f>
        <v>28.083700454545454</v>
      </c>
    </row>
    <row r="36" spans="1:10" x14ac:dyDescent="0.2">
      <c r="A36" s="51" t="s">
        <v>159</v>
      </c>
      <c r="B36" s="51" t="s">
        <v>72</v>
      </c>
      <c r="C36" s="243">
        <v>0</v>
      </c>
      <c r="D36" s="246">
        <v>15</v>
      </c>
      <c r="E36" s="243">
        <v>30</v>
      </c>
      <c r="F36" s="51" t="s">
        <v>94</v>
      </c>
      <c r="G36" s="58" t="s">
        <v>125</v>
      </c>
      <c r="H36" s="112">
        <f>'13. Pro-forma Costs'!$I$38*C36</f>
        <v>0</v>
      </c>
      <c r="I36" s="112">
        <f>'13. Pro-forma Costs'!$I$38*D36</f>
        <v>4.6806167424242426</v>
      </c>
      <c r="J36" s="112">
        <f>'13. Pro-forma Costs'!$I$38*E36</f>
        <v>9.3612334848484853</v>
      </c>
    </row>
    <row r="37" spans="1:10" x14ac:dyDescent="0.2">
      <c r="A37" s="51" t="s">
        <v>159</v>
      </c>
      <c r="B37" s="51" t="s">
        <v>151</v>
      </c>
      <c r="C37" s="243">
        <v>90</v>
      </c>
      <c r="D37" s="246">
        <v>120</v>
      </c>
      <c r="E37" s="243">
        <v>150</v>
      </c>
      <c r="F37" s="51" t="s">
        <v>94</v>
      </c>
      <c r="G37" s="58" t="s">
        <v>125</v>
      </c>
      <c r="H37" s="112">
        <f>'13. Pro-forma Costs'!$I$38*C37</f>
        <v>28.083700454545454</v>
      </c>
      <c r="I37" s="112">
        <f>'13. Pro-forma Costs'!$I$38*D37</f>
        <v>37.444933939393941</v>
      </c>
      <c r="J37" s="112">
        <f>'13. Pro-forma Costs'!$I$38*E37</f>
        <v>46.806167424242425</v>
      </c>
    </row>
    <row r="38" spans="1:10" x14ac:dyDescent="0.2">
      <c r="A38" s="51" t="s">
        <v>159</v>
      </c>
      <c r="B38" s="51" t="s">
        <v>152</v>
      </c>
      <c r="C38" s="243">
        <v>30</v>
      </c>
      <c r="D38" s="246">
        <v>45</v>
      </c>
      <c r="E38" s="243">
        <v>60</v>
      </c>
      <c r="F38" s="51" t="s">
        <v>94</v>
      </c>
      <c r="G38" s="58" t="s">
        <v>125</v>
      </c>
      <c r="H38" s="112">
        <f>'13. Pro-forma Costs'!$I$38*C38</f>
        <v>9.3612334848484853</v>
      </c>
      <c r="I38" s="112">
        <f>'13. Pro-forma Costs'!$I$38*D38</f>
        <v>14.041850227272727</v>
      </c>
      <c r="J38" s="112">
        <f>'13. Pro-forma Costs'!$I$38*E38</f>
        <v>18.722466969696971</v>
      </c>
    </row>
    <row r="39" spans="1:10" ht="13.5" thickBot="1" x14ac:dyDescent="0.25">
      <c r="A39" s="61" t="s">
        <v>159</v>
      </c>
      <c r="B39" s="61" t="s">
        <v>92</v>
      </c>
      <c r="C39" s="244">
        <v>15</v>
      </c>
      <c r="D39" s="248">
        <v>30</v>
      </c>
      <c r="E39" s="244">
        <v>100</v>
      </c>
      <c r="F39" s="61" t="s">
        <v>300</v>
      </c>
      <c r="G39" s="64" t="s">
        <v>301</v>
      </c>
      <c r="H39" s="143">
        <f>('13. Pro-forma Costs'!$I$6+'13. Pro-forma Costs'!$I$4+'13. Pro-forma Costs'!$I$42+'13. Pro-forma Costs'!$I$40+'13. Pro-forma Costs'!$I$15)*'9. UNICEF (as-is)'!C39</f>
        <v>81.99719083333332</v>
      </c>
      <c r="I39" s="143">
        <f>('13. Pro-forma Costs'!$I$6+'13. Pro-forma Costs'!$I$4+'13. Pro-forma Costs'!$I$42+'13. Pro-forma Costs'!$I$40+'13. Pro-forma Costs'!$I$15)*'9. UNICEF (as-is)'!D39</f>
        <v>163.99438166666664</v>
      </c>
      <c r="J39" s="143">
        <f>('13. Pro-forma Costs'!$I$6+'13. Pro-forma Costs'!$I$4+'13. Pro-forma Costs'!$I$42+'13. Pro-forma Costs'!$I$40+'13. Pro-forma Costs'!$I$15)*'9. UNICEF (as-is)'!E39</f>
        <v>546.6479388888888</v>
      </c>
    </row>
    <row r="40" spans="1:10" s="204" customFormat="1" ht="13.5" thickTop="1" x14ac:dyDescent="0.2">
      <c r="A40" s="204" t="s">
        <v>305</v>
      </c>
      <c r="B40" s="205">
        <f>COUNTA(B35:B39)</f>
        <v>5</v>
      </c>
      <c r="C40" s="206"/>
      <c r="D40" s="206"/>
      <c r="E40" s="206"/>
      <c r="G40" s="205"/>
      <c r="H40" s="211">
        <f>SUM(H35:H39)</f>
        <v>128.80335825757575</v>
      </c>
      <c r="I40" s="211">
        <f t="shared" ref="I40:J40" si="3">SUM(I35:I39)</f>
        <v>238.88424954545451</v>
      </c>
      <c r="J40" s="211">
        <f t="shared" si="3"/>
        <v>649.62150722222214</v>
      </c>
    </row>
    <row r="41" spans="1:10" x14ac:dyDescent="0.2">
      <c r="C41" s="49"/>
      <c r="D41" s="50"/>
      <c r="E41" s="49"/>
      <c r="H41" s="113"/>
      <c r="I41" s="113"/>
      <c r="J41" s="113"/>
    </row>
    <row r="42" spans="1:10" x14ac:dyDescent="0.2">
      <c r="A42" s="67" t="s">
        <v>164</v>
      </c>
      <c r="B42" s="67" t="s">
        <v>153</v>
      </c>
      <c r="C42" s="242">
        <v>10</v>
      </c>
      <c r="D42" s="245">
        <v>20</v>
      </c>
      <c r="E42" s="242">
        <v>30</v>
      </c>
      <c r="F42" s="67" t="s">
        <v>256</v>
      </c>
      <c r="G42" s="70" t="s">
        <v>125</v>
      </c>
      <c r="H42" s="115">
        <f>'13. Pro-forma Costs'!$I$38*C42</f>
        <v>3.1204111616161616</v>
      </c>
      <c r="I42" s="115">
        <f>'13. Pro-forma Costs'!$I$38*D42</f>
        <v>6.2408223232323232</v>
      </c>
      <c r="J42" s="115">
        <f>'13. Pro-forma Costs'!$I$38*E42</f>
        <v>9.3612334848484853</v>
      </c>
    </row>
    <row r="43" spans="1:10" x14ac:dyDescent="0.2">
      <c r="A43" s="51" t="s">
        <v>164</v>
      </c>
      <c r="B43" s="51" t="s">
        <v>154</v>
      </c>
      <c r="C43" s="243">
        <v>30</v>
      </c>
      <c r="D43" s="246">
        <v>60</v>
      </c>
      <c r="E43" s="243">
        <v>120</v>
      </c>
      <c r="F43" s="51" t="s">
        <v>256</v>
      </c>
      <c r="G43" s="58" t="s">
        <v>125</v>
      </c>
      <c r="H43" s="112">
        <f>'13. Pro-forma Costs'!$I$38*C43</f>
        <v>9.3612334848484853</v>
      </c>
      <c r="I43" s="112">
        <f>'13. Pro-forma Costs'!$I$38*D43</f>
        <v>18.722466969696971</v>
      </c>
      <c r="J43" s="112">
        <f>'13. Pro-forma Costs'!$I$38*E43</f>
        <v>37.444933939393941</v>
      </c>
    </row>
    <row r="44" spans="1:10" x14ac:dyDescent="0.2">
      <c r="A44" s="51" t="s">
        <v>164</v>
      </c>
      <c r="B44" s="51" t="s">
        <v>155</v>
      </c>
      <c r="C44" s="243">
        <v>10</v>
      </c>
      <c r="D44" s="246">
        <v>20</v>
      </c>
      <c r="E44" s="243">
        <v>30</v>
      </c>
      <c r="F44" s="51" t="s">
        <v>156</v>
      </c>
      <c r="G44" s="58" t="s">
        <v>107</v>
      </c>
      <c r="H44" s="112">
        <f>('13. Pro-forma Costs'!$I$6)*'9. UNICEF (as-is)'!C44</f>
        <v>20.03904106060606</v>
      </c>
      <c r="I44" s="112">
        <f>('13. Pro-forma Costs'!$I$6)*'9. UNICEF (as-is)'!D44</f>
        <v>40.07808212121212</v>
      </c>
      <c r="J44" s="112">
        <f>('13. Pro-forma Costs'!$I$6)*'9. UNICEF (as-is)'!E44</f>
        <v>60.117123181818179</v>
      </c>
    </row>
    <row r="45" spans="1:10" ht="13.5" thickBot="1" x14ac:dyDescent="0.25">
      <c r="A45" s="61" t="s">
        <v>164</v>
      </c>
      <c r="B45" s="61" t="s">
        <v>168</v>
      </c>
      <c r="C45" s="244">
        <v>10</v>
      </c>
      <c r="D45" s="248">
        <v>20</v>
      </c>
      <c r="E45" s="244">
        <v>30</v>
      </c>
      <c r="F45" s="61" t="s">
        <v>256</v>
      </c>
      <c r="G45" s="64" t="s">
        <v>125</v>
      </c>
      <c r="H45" s="118">
        <f>'13. Pro-forma Costs'!$I$38*C45</f>
        <v>3.1204111616161616</v>
      </c>
      <c r="I45" s="118">
        <f>'13. Pro-forma Costs'!$I$38*D45</f>
        <v>6.2408223232323232</v>
      </c>
      <c r="J45" s="118">
        <f>'13. Pro-forma Costs'!$I$38*E45</f>
        <v>9.3612334848484853</v>
      </c>
    </row>
    <row r="46" spans="1:10" s="204" customFormat="1" ht="13.5" thickTop="1" x14ac:dyDescent="0.2">
      <c r="A46" s="204" t="s">
        <v>305</v>
      </c>
      <c r="B46" s="205">
        <f>COUNTA(B42:B45)</f>
        <v>4</v>
      </c>
      <c r="C46" s="206"/>
      <c r="D46" s="206"/>
      <c r="E46" s="206"/>
      <c r="G46" s="205"/>
      <c r="H46" s="210">
        <f>SUM(H42:H45)</f>
        <v>35.641096868686866</v>
      </c>
      <c r="I46" s="210">
        <f t="shared" ref="I46:J46" si="4">SUM(I42:I45)</f>
        <v>71.282193737373731</v>
      </c>
      <c r="J46" s="210">
        <f t="shared" si="4"/>
        <v>116.28452409090909</v>
      </c>
    </row>
    <row r="47" spans="1:10" x14ac:dyDescent="0.2">
      <c r="C47" s="49"/>
      <c r="D47" s="50"/>
      <c r="E47" s="49"/>
      <c r="H47" s="112"/>
      <c r="I47" s="112"/>
      <c r="J47" s="112"/>
    </row>
    <row r="48" spans="1:10" s="46" customFormat="1" x14ac:dyDescent="0.2">
      <c r="A48" s="71" t="s">
        <v>82</v>
      </c>
      <c r="B48" s="71" t="s">
        <v>81</v>
      </c>
      <c r="C48" s="242">
        <v>30</v>
      </c>
      <c r="D48" s="245">
        <v>45</v>
      </c>
      <c r="E48" s="242">
        <v>60</v>
      </c>
      <c r="F48" s="67" t="s">
        <v>256</v>
      </c>
      <c r="G48" s="70" t="s">
        <v>125</v>
      </c>
      <c r="H48" s="115">
        <f>'13. Pro-forma Costs'!$I$38*C48</f>
        <v>9.3612334848484853</v>
      </c>
      <c r="I48" s="115">
        <f>'13. Pro-forma Costs'!$I$38*D48</f>
        <v>14.041850227272727</v>
      </c>
      <c r="J48" s="115">
        <f>'13. Pro-forma Costs'!$I$38*E48</f>
        <v>18.722466969696971</v>
      </c>
    </row>
    <row r="49" spans="1:10" s="46" customFormat="1" ht="13.5" thickBot="1" x14ac:dyDescent="0.25">
      <c r="A49" s="72" t="s">
        <v>82</v>
      </c>
      <c r="B49" s="72" t="s">
        <v>303</v>
      </c>
      <c r="C49" s="244">
        <v>5</v>
      </c>
      <c r="D49" s="248">
        <v>10</v>
      </c>
      <c r="E49" s="244">
        <v>16</v>
      </c>
      <c r="F49" s="61" t="s">
        <v>256</v>
      </c>
      <c r="G49" s="64" t="s">
        <v>125</v>
      </c>
      <c r="H49" s="118">
        <f>'13. Pro-forma Costs'!$I$38*C49</f>
        <v>1.5602055808080808</v>
      </c>
      <c r="I49" s="118">
        <f>'13. Pro-forma Costs'!$I$38*D49</f>
        <v>3.1204111616161616</v>
      </c>
      <c r="J49" s="118">
        <f>'13. Pro-forma Costs'!$I$38*E49</f>
        <v>4.9926578585858588</v>
      </c>
    </row>
    <row r="50" spans="1:10" s="208" customFormat="1" ht="13.5" thickTop="1" x14ac:dyDescent="0.2">
      <c r="A50" s="202" t="s">
        <v>305</v>
      </c>
      <c r="B50" s="206">
        <f>COUNTA(B48:B49)</f>
        <v>2</v>
      </c>
      <c r="C50" s="206"/>
      <c r="D50" s="206"/>
      <c r="E50" s="206"/>
      <c r="F50" s="204"/>
      <c r="G50" s="205"/>
      <c r="H50" s="210">
        <f>SUM(H48:H49)</f>
        <v>10.921439065656566</v>
      </c>
      <c r="I50" s="210">
        <f t="shared" ref="I50:J50" si="5">SUM(I48:I49)</f>
        <v>17.16226138888889</v>
      </c>
      <c r="J50" s="210">
        <f t="shared" si="5"/>
        <v>23.715124828282828</v>
      </c>
    </row>
    <row r="51" spans="1:10" s="46" customFormat="1" x14ac:dyDescent="0.2">
      <c r="A51" s="48"/>
      <c r="B51" s="48"/>
      <c r="C51" s="49"/>
      <c r="D51" s="50"/>
      <c r="E51" s="49"/>
      <c r="F51" s="51"/>
      <c r="G51" s="58"/>
      <c r="H51" s="112"/>
      <c r="I51" s="112"/>
      <c r="J51" s="112"/>
    </row>
    <row r="52" spans="1:10" x14ac:dyDescent="0.2">
      <c r="A52" s="67" t="s">
        <v>157</v>
      </c>
      <c r="B52" s="67" t="s">
        <v>144</v>
      </c>
      <c r="C52" s="242">
        <v>5</v>
      </c>
      <c r="D52" s="242">
        <v>10</v>
      </c>
      <c r="E52" s="242">
        <v>15</v>
      </c>
      <c r="F52" s="67" t="s">
        <v>256</v>
      </c>
      <c r="G52" s="70" t="s">
        <v>125</v>
      </c>
      <c r="H52" s="115">
        <f>'13. Pro-forma Costs'!$I$38*C52</f>
        <v>1.5602055808080808</v>
      </c>
      <c r="I52" s="115">
        <f>'13. Pro-forma Costs'!$I$38*D52</f>
        <v>3.1204111616161616</v>
      </c>
      <c r="J52" s="115">
        <f>'13. Pro-forma Costs'!$I$38*E52</f>
        <v>4.6806167424242426</v>
      </c>
    </row>
    <row r="53" spans="1:10" x14ac:dyDescent="0.2">
      <c r="A53" s="51" t="s">
        <v>157</v>
      </c>
      <c r="B53" s="51" t="s">
        <v>145</v>
      </c>
      <c r="C53" s="243">
        <v>10</v>
      </c>
      <c r="D53" s="243">
        <v>20</v>
      </c>
      <c r="E53" s="243">
        <v>30</v>
      </c>
      <c r="F53" s="51" t="s">
        <v>156</v>
      </c>
      <c r="G53" s="58" t="s">
        <v>125</v>
      </c>
      <c r="H53" s="112">
        <f>'13. Pro-forma Costs'!$I$38*C53</f>
        <v>3.1204111616161616</v>
      </c>
      <c r="I53" s="112">
        <f>'13. Pro-forma Costs'!$I$38*D53</f>
        <v>6.2408223232323232</v>
      </c>
      <c r="J53" s="112">
        <f>'13. Pro-forma Costs'!$I$38*E53</f>
        <v>9.3612334848484853</v>
      </c>
    </row>
    <row r="54" spans="1:10" x14ac:dyDescent="0.2">
      <c r="A54" s="51" t="s">
        <v>157</v>
      </c>
      <c r="B54" s="51" t="s">
        <v>147</v>
      </c>
      <c r="C54" s="243">
        <v>5</v>
      </c>
      <c r="D54" s="243">
        <v>10</v>
      </c>
      <c r="E54" s="243">
        <v>15</v>
      </c>
      <c r="F54" s="51" t="s">
        <v>256</v>
      </c>
      <c r="G54" s="58" t="s">
        <v>125</v>
      </c>
      <c r="H54" s="112">
        <f>'13. Pro-forma Costs'!$I$38*C54</f>
        <v>1.5602055808080808</v>
      </c>
      <c r="I54" s="112">
        <f>'13. Pro-forma Costs'!$I$38*D54</f>
        <v>3.1204111616161616</v>
      </c>
      <c r="J54" s="112">
        <f>'13. Pro-forma Costs'!$I$38*E54</f>
        <v>4.6806167424242426</v>
      </c>
    </row>
    <row r="55" spans="1:10" ht="13.5" thickBot="1" x14ac:dyDescent="0.25">
      <c r="A55" s="61" t="s">
        <v>157</v>
      </c>
      <c r="B55" s="61" t="s">
        <v>146</v>
      </c>
      <c r="C55" s="244">
        <v>10</v>
      </c>
      <c r="D55" s="244">
        <v>15</v>
      </c>
      <c r="E55" s="244">
        <v>20</v>
      </c>
      <c r="F55" s="61" t="s">
        <v>256</v>
      </c>
      <c r="G55" s="64" t="s">
        <v>125</v>
      </c>
      <c r="H55" s="118">
        <f>'13. Pro-forma Costs'!$I$38*C55</f>
        <v>3.1204111616161616</v>
      </c>
      <c r="I55" s="118">
        <f>'13. Pro-forma Costs'!$I$38*D55</f>
        <v>4.6806167424242426</v>
      </c>
      <c r="J55" s="118">
        <f>'13. Pro-forma Costs'!$I$38*E55</f>
        <v>6.2408223232323232</v>
      </c>
    </row>
    <row r="56" spans="1:10" s="204" customFormat="1" ht="13.5" thickTop="1" x14ac:dyDescent="0.2">
      <c r="A56" s="204" t="s">
        <v>305</v>
      </c>
      <c r="B56" s="205">
        <f>COUNTA(B52:B55)</f>
        <v>4</v>
      </c>
      <c r="C56" s="206"/>
      <c r="D56" s="206"/>
      <c r="E56" s="206"/>
      <c r="G56" s="205"/>
      <c r="H56" s="210">
        <f>SUM(H52:H55)</f>
        <v>9.3612334848484853</v>
      </c>
      <c r="I56" s="210">
        <f t="shared" ref="I56:J56" si="6">SUM(I52:I55)</f>
        <v>17.16226138888889</v>
      </c>
      <c r="J56" s="210">
        <f t="shared" si="6"/>
        <v>24.963289292929293</v>
      </c>
    </row>
    <row r="57" spans="1:10" x14ac:dyDescent="0.2">
      <c r="C57" s="49"/>
      <c r="D57" s="49"/>
      <c r="E57" s="49"/>
      <c r="H57" s="112"/>
      <c r="I57" s="112"/>
      <c r="J57" s="112"/>
    </row>
    <row r="58" spans="1:10" x14ac:dyDescent="0.2">
      <c r="A58" s="67" t="s">
        <v>163</v>
      </c>
      <c r="B58" s="67" t="s">
        <v>93</v>
      </c>
      <c r="C58" s="242">
        <v>30</v>
      </c>
      <c r="D58" s="245">
        <v>60</v>
      </c>
      <c r="E58" s="242">
        <v>90</v>
      </c>
      <c r="F58" s="67" t="s">
        <v>256</v>
      </c>
      <c r="G58" s="70" t="s">
        <v>125</v>
      </c>
      <c r="H58" s="115">
        <f>'13. Pro-forma Costs'!$I$38*C58</f>
        <v>9.3612334848484853</v>
      </c>
      <c r="I58" s="115">
        <f>'13. Pro-forma Costs'!$I$38*D58</f>
        <v>18.722466969696971</v>
      </c>
      <c r="J58" s="115">
        <f>'13. Pro-forma Costs'!$I$38*E58</f>
        <v>28.083700454545454</v>
      </c>
    </row>
    <row r="59" spans="1:10" x14ac:dyDescent="0.2">
      <c r="A59" s="51" t="s">
        <v>163</v>
      </c>
      <c r="B59" s="51" t="s">
        <v>304</v>
      </c>
      <c r="C59" s="243">
        <v>15</v>
      </c>
      <c r="D59" s="246">
        <v>30</v>
      </c>
      <c r="E59" s="243">
        <v>60</v>
      </c>
      <c r="F59" s="51" t="s">
        <v>256</v>
      </c>
      <c r="G59" s="58" t="s">
        <v>125</v>
      </c>
      <c r="H59" s="112">
        <f>'13. Pro-forma Costs'!$I$38*C59</f>
        <v>4.6806167424242426</v>
      </c>
      <c r="I59" s="112">
        <f>'13. Pro-forma Costs'!$I$38*D59</f>
        <v>9.3612334848484853</v>
      </c>
      <c r="J59" s="112">
        <f>'13. Pro-forma Costs'!$I$38*E59</f>
        <v>18.722466969696971</v>
      </c>
    </row>
    <row r="60" spans="1:10" x14ac:dyDescent="0.2">
      <c r="A60" s="51" t="s">
        <v>163</v>
      </c>
      <c r="B60" s="51" t="s">
        <v>162</v>
      </c>
      <c r="C60" s="243">
        <v>15</v>
      </c>
      <c r="D60" s="246">
        <v>30</v>
      </c>
      <c r="E60" s="243">
        <v>45</v>
      </c>
      <c r="F60" s="51" t="s">
        <v>256</v>
      </c>
      <c r="G60" s="58" t="s">
        <v>125</v>
      </c>
      <c r="H60" s="112">
        <f>'13. Pro-forma Costs'!$I$38*C60</f>
        <v>4.6806167424242426</v>
      </c>
      <c r="I60" s="112">
        <f>'13. Pro-forma Costs'!$I$38*D60</f>
        <v>9.3612334848484853</v>
      </c>
      <c r="J60" s="112">
        <f>'13. Pro-forma Costs'!$I$38*E60</f>
        <v>14.041850227272727</v>
      </c>
    </row>
    <row r="61" spans="1:10" x14ac:dyDescent="0.2">
      <c r="A61" s="51" t="s">
        <v>163</v>
      </c>
      <c r="B61" s="51" t="s">
        <v>161</v>
      </c>
      <c r="C61" s="243">
        <v>5</v>
      </c>
      <c r="D61" s="246">
        <v>10</v>
      </c>
      <c r="E61" s="243">
        <v>15</v>
      </c>
      <c r="F61" s="51" t="s">
        <v>256</v>
      </c>
      <c r="G61" s="58" t="s">
        <v>125</v>
      </c>
      <c r="H61" s="112">
        <f>'13. Pro-forma Costs'!$I$38*C61</f>
        <v>1.5602055808080808</v>
      </c>
      <c r="I61" s="112">
        <f>'13. Pro-forma Costs'!$I$38*D61</f>
        <v>3.1204111616161616</v>
      </c>
      <c r="J61" s="112">
        <f>'13. Pro-forma Costs'!$I$38*E61</f>
        <v>4.6806167424242426</v>
      </c>
    </row>
    <row r="62" spans="1:10" ht="12.75" customHeight="1" x14ac:dyDescent="0.2">
      <c r="A62" s="51" t="s">
        <v>163</v>
      </c>
      <c r="B62" s="51" t="s">
        <v>83</v>
      </c>
      <c r="C62" s="243">
        <v>5</v>
      </c>
      <c r="D62" s="246">
        <v>10</v>
      </c>
      <c r="E62" s="243">
        <v>15</v>
      </c>
      <c r="F62" s="51" t="s">
        <v>256</v>
      </c>
      <c r="G62" s="58" t="s">
        <v>125</v>
      </c>
      <c r="H62" s="112">
        <f>'13. Pro-forma Costs'!$I$38*C62</f>
        <v>1.5602055808080808</v>
      </c>
      <c r="I62" s="112">
        <f>'13. Pro-forma Costs'!$I$38*D62</f>
        <v>3.1204111616161616</v>
      </c>
      <c r="J62" s="112">
        <f>'13. Pro-forma Costs'!$I$38*E62</f>
        <v>4.6806167424242426</v>
      </c>
    </row>
    <row r="63" spans="1:10" ht="13.5" thickBot="1" x14ac:dyDescent="0.25">
      <c r="A63" s="61" t="s">
        <v>163</v>
      </c>
      <c r="B63" s="61" t="s">
        <v>148</v>
      </c>
      <c r="C63" s="244">
        <v>10</v>
      </c>
      <c r="D63" s="244">
        <v>15</v>
      </c>
      <c r="E63" s="244">
        <v>20</v>
      </c>
      <c r="F63" s="61" t="s">
        <v>256</v>
      </c>
      <c r="G63" s="64" t="s">
        <v>125</v>
      </c>
      <c r="H63" s="118">
        <f>'13. Pro-forma Costs'!$I$38*C63</f>
        <v>3.1204111616161616</v>
      </c>
      <c r="I63" s="118">
        <f>'13. Pro-forma Costs'!$I$38*D63</f>
        <v>4.6806167424242426</v>
      </c>
      <c r="J63" s="118">
        <f>'13. Pro-forma Costs'!$I$38*E63</f>
        <v>6.2408223232323232</v>
      </c>
    </row>
    <row r="64" spans="1:10" s="204" customFormat="1" ht="13.5" thickTop="1" x14ac:dyDescent="0.2">
      <c r="A64" s="204" t="s">
        <v>305</v>
      </c>
      <c r="B64" s="205">
        <f>COUNTA(B58:B63)</f>
        <v>6</v>
      </c>
      <c r="C64" s="206"/>
      <c r="D64" s="206"/>
      <c r="E64" s="206"/>
      <c r="G64" s="205"/>
      <c r="H64" s="210">
        <f>SUM(H58:H63)</f>
        <v>24.963289292929293</v>
      </c>
      <c r="I64" s="210">
        <f>SUM(I58:I63)</f>
        <v>48.366373005050505</v>
      </c>
      <c r="J64" s="210">
        <f>SUM(J58:J63)</f>
        <v>76.45007345959597</v>
      </c>
    </row>
    <row r="65" spans="1:10" x14ac:dyDescent="0.2">
      <c r="C65" s="49"/>
      <c r="D65" s="49"/>
      <c r="E65" s="49"/>
      <c r="H65" s="112"/>
      <c r="I65" s="112"/>
      <c r="J65" s="112"/>
    </row>
    <row r="66" spans="1:10" x14ac:dyDescent="0.2">
      <c r="A66" s="67" t="s">
        <v>204</v>
      </c>
      <c r="B66" s="67" t="s">
        <v>149</v>
      </c>
      <c r="C66" s="237">
        <v>10</v>
      </c>
      <c r="D66" s="237">
        <v>15</v>
      </c>
      <c r="E66" s="237">
        <v>20</v>
      </c>
      <c r="F66" s="67" t="s">
        <v>256</v>
      </c>
      <c r="G66" s="70" t="s">
        <v>125</v>
      </c>
      <c r="H66" s="115">
        <f>'13. Pro-forma Costs'!$I$38*C66</f>
        <v>3.1204111616161616</v>
      </c>
      <c r="I66" s="115">
        <f>'13. Pro-forma Costs'!$I$38*D66</f>
        <v>4.6806167424242426</v>
      </c>
      <c r="J66" s="115">
        <f>'13. Pro-forma Costs'!$I$38*E66</f>
        <v>6.2408223232323232</v>
      </c>
    </row>
    <row r="67" spans="1:10" ht="13.5" thickBot="1" x14ac:dyDescent="0.25">
      <c r="A67" s="61" t="s">
        <v>204</v>
      </c>
      <c r="B67" s="61" t="s">
        <v>150</v>
      </c>
      <c r="C67" s="247">
        <v>10</v>
      </c>
      <c r="D67" s="247">
        <v>15</v>
      </c>
      <c r="E67" s="247">
        <v>20</v>
      </c>
      <c r="F67" s="61" t="s">
        <v>256</v>
      </c>
      <c r="G67" s="64" t="s">
        <v>125</v>
      </c>
      <c r="H67" s="118">
        <f>'13. Pro-forma Costs'!$I$38*C67</f>
        <v>3.1204111616161616</v>
      </c>
      <c r="I67" s="118">
        <f>'13. Pro-forma Costs'!$I$38*D67</f>
        <v>4.6806167424242426</v>
      </c>
      <c r="J67" s="118">
        <f>'13. Pro-forma Costs'!$I$38*E67</f>
        <v>6.2408223232323232</v>
      </c>
    </row>
    <row r="68" spans="1:10" s="204" customFormat="1" ht="12" customHeight="1" thickTop="1" x14ac:dyDescent="0.2">
      <c r="A68" s="204" t="s">
        <v>305</v>
      </c>
      <c r="B68" s="205">
        <f>COUNTA(B66:B67)</f>
        <v>2</v>
      </c>
      <c r="C68" s="205"/>
      <c r="D68" s="205"/>
      <c r="E68" s="205"/>
      <c r="G68" s="205"/>
      <c r="H68" s="210">
        <f>SUM(H66:H67)</f>
        <v>6.2408223232323232</v>
      </c>
      <c r="I68" s="210">
        <f t="shared" ref="I68:J68" si="7">SUM(I66:I67)</f>
        <v>9.3612334848484853</v>
      </c>
      <c r="J68" s="210">
        <f t="shared" si="7"/>
        <v>12.481644646464646</v>
      </c>
    </row>
  </sheetData>
  <mergeCells count="2">
    <mergeCell ref="C1:E1"/>
    <mergeCell ref="H1:J1"/>
  </mergeCells>
  <pageMargins left="0.7" right="0.7" top="0.75" bottom="0.75" header="0.3" footer="0.3"/>
  <pageSetup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AF57"/>
  <sheetViews>
    <sheetView zoomScale="90" zoomScaleNormal="90" workbookViewId="0"/>
  </sheetViews>
  <sheetFormatPr defaultColWidth="9.140625" defaultRowHeight="12.75" x14ac:dyDescent="0.2"/>
  <cols>
    <col min="1" max="1" width="32.5703125" style="46" customWidth="1"/>
    <col min="2" max="2" width="31.28515625" style="46" customWidth="1"/>
    <col min="3" max="3" width="8.85546875" style="46" customWidth="1"/>
    <col min="4" max="4" width="9.5703125" style="46" customWidth="1"/>
    <col min="5" max="5" width="7.85546875" style="46" customWidth="1"/>
    <col min="6" max="6" width="32.42578125" style="46" customWidth="1"/>
    <col min="7" max="7" width="18.140625" style="60" customWidth="1"/>
    <col min="8" max="10" width="9.140625" style="60"/>
    <col min="11" max="16384" width="9.140625" style="46"/>
  </cols>
  <sheetData>
    <row r="1" spans="1:32" ht="15" x14ac:dyDescent="0.25">
      <c r="A1" s="57" t="s">
        <v>236</v>
      </c>
      <c r="B1" s="57"/>
      <c r="C1" s="393" t="s">
        <v>342</v>
      </c>
      <c r="D1" s="397"/>
      <c r="E1" s="397"/>
      <c r="F1" s="56"/>
      <c r="G1" s="56"/>
      <c r="H1" s="56"/>
      <c r="I1" s="56" t="s">
        <v>299</v>
      </c>
      <c r="J1" s="56"/>
    </row>
    <row r="2" spans="1:32" x14ac:dyDescent="0.2">
      <c r="A2" s="53" t="s">
        <v>62</v>
      </c>
      <c r="B2" s="53" t="s">
        <v>160</v>
      </c>
      <c r="C2" s="55" t="s">
        <v>169</v>
      </c>
      <c r="D2" s="56" t="s">
        <v>170</v>
      </c>
      <c r="E2" s="56" t="s">
        <v>171</v>
      </c>
      <c r="F2" s="53" t="s">
        <v>61</v>
      </c>
      <c r="G2" s="56" t="s">
        <v>0</v>
      </c>
      <c r="H2" s="56" t="s">
        <v>169</v>
      </c>
      <c r="I2" s="56" t="s">
        <v>170</v>
      </c>
      <c r="J2" s="56" t="s">
        <v>171</v>
      </c>
    </row>
    <row r="3" spans="1:32" ht="14.25" customHeight="1" x14ac:dyDescent="0.2">
      <c r="A3" s="67" t="s">
        <v>64</v>
      </c>
      <c r="B3" s="67" t="s">
        <v>172</v>
      </c>
      <c r="C3" s="242">
        <v>15</v>
      </c>
      <c r="D3" s="245">
        <v>30</v>
      </c>
      <c r="E3" s="242">
        <v>60</v>
      </c>
      <c r="F3" s="67" t="s">
        <v>129</v>
      </c>
      <c r="G3" s="68" t="s">
        <v>125</v>
      </c>
      <c r="H3" s="140">
        <f>C3*'13. Pro-forma Costs'!$I$38</f>
        <v>4.6806167424242426</v>
      </c>
      <c r="I3" s="140">
        <f>D3*'13. Pro-forma Costs'!$I$38</f>
        <v>9.3612334848484853</v>
      </c>
      <c r="J3" s="140">
        <f>E3*'13. Pro-forma Costs'!$I$38</f>
        <v>18.722466969696971</v>
      </c>
      <c r="K3" s="48"/>
      <c r="L3" s="48"/>
      <c r="M3" s="48"/>
      <c r="N3" s="48"/>
      <c r="O3" s="48"/>
      <c r="P3" s="48"/>
      <c r="Q3" s="48"/>
      <c r="R3" s="48"/>
      <c r="S3" s="48"/>
      <c r="T3" s="48"/>
      <c r="U3" s="48"/>
      <c r="V3" s="48"/>
      <c r="W3" s="48"/>
      <c r="X3" s="48"/>
      <c r="Y3" s="48"/>
      <c r="Z3" s="48"/>
      <c r="AA3" s="48"/>
      <c r="AB3" s="48"/>
      <c r="AC3" s="48"/>
      <c r="AD3" s="48"/>
      <c r="AE3" s="48"/>
      <c r="AF3" s="48"/>
    </row>
    <row r="4" spans="1:32" ht="14.25" customHeight="1" thickBot="1" x14ac:dyDescent="0.25">
      <c r="A4" s="61" t="s">
        <v>206</v>
      </c>
      <c r="B4" s="61" t="s">
        <v>205</v>
      </c>
      <c r="C4" s="244">
        <v>5</v>
      </c>
      <c r="D4" s="248">
        <v>10</v>
      </c>
      <c r="E4" s="244">
        <v>15</v>
      </c>
      <c r="F4" s="61" t="s">
        <v>129</v>
      </c>
      <c r="G4" s="62" t="s">
        <v>125</v>
      </c>
      <c r="H4" s="142">
        <f>C4*'13. Pro-forma Costs'!$I$38</f>
        <v>1.5602055808080808</v>
      </c>
      <c r="I4" s="142">
        <f>D4*'13. Pro-forma Costs'!$I$38</f>
        <v>3.1204111616161616</v>
      </c>
      <c r="J4" s="142">
        <f>E4*'13. Pro-forma Costs'!$I$38</f>
        <v>4.6806167424242426</v>
      </c>
      <c r="K4" s="48"/>
      <c r="L4" s="48"/>
      <c r="M4" s="48"/>
      <c r="N4" s="48"/>
      <c r="O4" s="48"/>
      <c r="P4" s="48"/>
      <c r="Q4" s="48"/>
      <c r="R4" s="48"/>
      <c r="S4" s="48"/>
      <c r="T4" s="48"/>
      <c r="U4" s="48"/>
      <c r="V4" s="48"/>
      <c r="W4" s="48"/>
      <c r="X4" s="48"/>
      <c r="Y4" s="48"/>
      <c r="Z4" s="48"/>
      <c r="AA4" s="48"/>
      <c r="AB4" s="48"/>
      <c r="AC4" s="48"/>
      <c r="AD4" s="48"/>
      <c r="AE4" s="48"/>
      <c r="AF4" s="48"/>
    </row>
    <row r="5" spans="1:32" s="208" customFormat="1" ht="14.25" customHeight="1" thickTop="1" x14ac:dyDescent="0.2">
      <c r="A5" s="204" t="s">
        <v>305</v>
      </c>
      <c r="B5" s="205">
        <f>COUNTA(B3:B4)</f>
        <v>2</v>
      </c>
      <c r="C5" s="206"/>
      <c r="D5" s="206"/>
      <c r="E5" s="206"/>
      <c r="F5" s="204"/>
      <c r="G5" s="206"/>
      <c r="H5" s="207">
        <f>SUM(H3:H4)</f>
        <v>6.2408223232323232</v>
      </c>
      <c r="I5" s="207">
        <f>SUM(I3:I4)</f>
        <v>12.481644646464646</v>
      </c>
      <c r="J5" s="207">
        <f>SUM(J3:J4)</f>
        <v>23.403083712121212</v>
      </c>
      <c r="K5" s="202"/>
      <c r="L5" s="202"/>
      <c r="M5" s="202"/>
      <c r="N5" s="202"/>
      <c r="O5" s="202"/>
      <c r="P5" s="202"/>
      <c r="Q5" s="202"/>
      <c r="R5" s="202"/>
      <c r="S5" s="202"/>
      <c r="T5" s="202"/>
      <c r="U5" s="202"/>
      <c r="V5" s="202"/>
      <c r="W5" s="202"/>
      <c r="X5" s="202"/>
      <c r="Y5" s="202"/>
      <c r="Z5" s="202"/>
      <c r="AA5" s="202"/>
      <c r="AB5" s="202"/>
      <c r="AC5" s="202"/>
      <c r="AD5" s="202"/>
      <c r="AE5" s="202"/>
      <c r="AF5" s="202"/>
    </row>
    <row r="6" spans="1:32" ht="14.25" customHeight="1" x14ac:dyDescent="0.2">
      <c r="A6" s="51"/>
      <c r="B6" s="51"/>
      <c r="C6" s="49"/>
      <c r="D6" s="50"/>
      <c r="E6" s="49"/>
      <c r="F6" s="51"/>
      <c r="G6" s="49"/>
      <c r="H6" s="141"/>
      <c r="I6" s="141"/>
      <c r="J6" s="141"/>
      <c r="K6" s="48"/>
      <c r="L6" s="48"/>
      <c r="M6" s="48"/>
      <c r="N6" s="48"/>
      <c r="O6" s="48"/>
      <c r="P6" s="48"/>
      <c r="Q6" s="48"/>
      <c r="R6" s="48"/>
      <c r="S6" s="48"/>
      <c r="T6" s="48"/>
      <c r="U6" s="48"/>
      <c r="V6" s="48"/>
      <c r="W6" s="48"/>
      <c r="X6" s="48"/>
      <c r="Y6" s="48"/>
      <c r="Z6" s="48"/>
      <c r="AA6" s="48"/>
      <c r="AB6" s="48"/>
      <c r="AC6" s="48"/>
      <c r="AD6" s="48"/>
      <c r="AE6" s="48"/>
      <c r="AF6" s="48"/>
    </row>
    <row r="7" spans="1:32" s="51" customFormat="1" x14ac:dyDescent="0.2">
      <c r="A7" s="67" t="s">
        <v>165</v>
      </c>
      <c r="B7" s="67" t="s">
        <v>84</v>
      </c>
      <c r="C7" s="237">
        <v>60</v>
      </c>
      <c r="D7" s="249">
        <v>120</v>
      </c>
      <c r="E7" s="237">
        <v>180</v>
      </c>
      <c r="F7" s="67" t="s">
        <v>129</v>
      </c>
      <c r="G7" s="68" t="s">
        <v>125</v>
      </c>
      <c r="H7" s="140">
        <f>C7*'13. Pro-forma Costs'!$I$38</f>
        <v>18.722466969696971</v>
      </c>
      <c r="I7" s="140">
        <f>D7*'13. Pro-forma Costs'!$I$38</f>
        <v>37.444933939393941</v>
      </c>
      <c r="J7" s="140">
        <f>E7*'13. Pro-forma Costs'!$I$38</f>
        <v>56.167400909090908</v>
      </c>
      <c r="K7" s="48"/>
      <c r="L7" s="48"/>
      <c r="M7" s="48"/>
      <c r="N7" s="48"/>
      <c r="O7" s="48"/>
      <c r="P7" s="48"/>
      <c r="Q7" s="48"/>
      <c r="R7" s="48"/>
      <c r="S7" s="48"/>
      <c r="T7" s="48"/>
      <c r="U7" s="48"/>
      <c r="V7" s="48"/>
      <c r="W7" s="48"/>
      <c r="X7" s="48"/>
      <c r="Y7" s="48"/>
      <c r="Z7" s="48"/>
      <c r="AA7" s="48"/>
      <c r="AB7" s="48"/>
      <c r="AC7" s="48"/>
      <c r="AD7" s="48"/>
      <c r="AE7" s="48"/>
      <c r="AF7" s="48"/>
    </row>
    <row r="8" spans="1:32" s="51" customFormat="1" x14ac:dyDescent="0.2">
      <c r="A8" s="51" t="s">
        <v>165</v>
      </c>
      <c r="B8" s="51" t="s">
        <v>181</v>
      </c>
      <c r="C8" s="250">
        <v>15</v>
      </c>
      <c r="D8" s="251">
        <v>30</v>
      </c>
      <c r="E8" s="250">
        <v>45</v>
      </c>
      <c r="F8" s="51" t="s">
        <v>129</v>
      </c>
      <c r="G8" s="49" t="s">
        <v>125</v>
      </c>
      <c r="H8" s="141">
        <f>C8*'13. Pro-forma Costs'!$I$38</f>
        <v>4.6806167424242426</v>
      </c>
      <c r="I8" s="141">
        <f>D8*'13. Pro-forma Costs'!$I$38</f>
        <v>9.3612334848484853</v>
      </c>
      <c r="J8" s="141">
        <f>E8*'13. Pro-forma Costs'!$I$38</f>
        <v>14.041850227272727</v>
      </c>
      <c r="K8" s="48"/>
      <c r="L8" s="48"/>
      <c r="M8" s="48"/>
      <c r="N8" s="48"/>
      <c r="O8" s="48"/>
      <c r="P8" s="48"/>
      <c r="Q8" s="48"/>
      <c r="R8" s="48"/>
      <c r="S8" s="48"/>
      <c r="T8" s="48"/>
      <c r="U8" s="48"/>
      <c r="V8" s="48"/>
      <c r="W8" s="48"/>
      <c r="X8" s="48"/>
      <c r="Y8" s="48"/>
      <c r="Z8" s="48"/>
      <c r="AA8" s="48"/>
      <c r="AB8" s="48"/>
      <c r="AC8" s="48"/>
      <c r="AD8" s="48"/>
      <c r="AE8" s="48"/>
      <c r="AF8" s="48"/>
    </row>
    <row r="9" spans="1:32" s="51" customFormat="1" x14ac:dyDescent="0.2">
      <c r="A9" s="51" t="s">
        <v>165</v>
      </c>
      <c r="B9" s="51" t="s">
        <v>180</v>
      </c>
      <c r="C9" s="250">
        <v>30</v>
      </c>
      <c r="D9" s="251">
        <v>60</v>
      </c>
      <c r="E9" s="250">
        <v>120</v>
      </c>
      <c r="F9" s="51" t="s">
        <v>129</v>
      </c>
      <c r="G9" s="49" t="s">
        <v>125</v>
      </c>
      <c r="H9" s="141">
        <f>C9*'13. Pro-forma Costs'!$I$38</f>
        <v>9.3612334848484853</v>
      </c>
      <c r="I9" s="141">
        <f>D9*'13. Pro-forma Costs'!$I$38</f>
        <v>18.722466969696971</v>
      </c>
      <c r="J9" s="141">
        <f>E9*'13. Pro-forma Costs'!$I$38</f>
        <v>37.444933939393941</v>
      </c>
      <c r="K9" s="48"/>
      <c r="L9" s="48"/>
      <c r="M9" s="48"/>
      <c r="N9" s="48"/>
      <c r="O9" s="48"/>
      <c r="P9" s="48"/>
      <c r="Q9" s="48"/>
      <c r="R9" s="48"/>
      <c r="S9" s="48"/>
      <c r="T9" s="48"/>
      <c r="U9" s="48"/>
      <c r="V9" s="48"/>
      <c r="W9" s="48"/>
      <c r="X9" s="48"/>
      <c r="Y9" s="48"/>
      <c r="Z9" s="48"/>
      <c r="AA9" s="48"/>
      <c r="AB9" s="48"/>
      <c r="AC9" s="48"/>
      <c r="AD9" s="48"/>
      <c r="AE9" s="48"/>
      <c r="AF9" s="48"/>
    </row>
    <row r="10" spans="1:32" s="51" customFormat="1" x14ac:dyDescent="0.2">
      <c r="A10" s="51" t="s">
        <v>165</v>
      </c>
      <c r="B10" s="51" t="s">
        <v>88</v>
      </c>
      <c r="C10" s="250">
        <v>5</v>
      </c>
      <c r="D10" s="251">
        <v>10</v>
      </c>
      <c r="E10" s="250">
        <v>15</v>
      </c>
      <c r="F10" s="51" t="s">
        <v>129</v>
      </c>
      <c r="G10" s="49" t="s">
        <v>125</v>
      </c>
      <c r="H10" s="141">
        <f>C10*'13. Pro-forma Costs'!$I$38</f>
        <v>1.5602055808080808</v>
      </c>
      <c r="I10" s="141">
        <f>D10*'13. Pro-forma Costs'!$I$38</f>
        <v>3.1204111616161616</v>
      </c>
      <c r="J10" s="141">
        <f>E10*'13. Pro-forma Costs'!$I$38</f>
        <v>4.6806167424242426</v>
      </c>
      <c r="K10" s="48"/>
      <c r="L10" s="48"/>
      <c r="M10" s="48"/>
      <c r="N10" s="48"/>
      <c r="O10" s="48"/>
      <c r="P10" s="48"/>
      <c r="Q10" s="48"/>
      <c r="R10" s="48"/>
      <c r="S10" s="48"/>
      <c r="T10" s="48"/>
      <c r="U10" s="48"/>
      <c r="V10" s="48"/>
      <c r="W10" s="48"/>
      <c r="X10" s="48"/>
      <c r="Y10" s="48"/>
      <c r="Z10" s="48"/>
      <c r="AA10" s="48"/>
      <c r="AB10" s="48"/>
      <c r="AC10" s="48"/>
      <c r="AD10" s="48"/>
      <c r="AE10" s="48"/>
      <c r="AF10" s="48"/>
    </row>
    <row r="11" spans="1:32" s="51" customFormat="1" x14ac:dyDescent="0.2">
      <c r="A11" s="51" t="s">
        <v>165</v>
      </c>
      <c r="B11" s="51" t="s">
        <v>173</v>
      </c>
      <c r="C11" s="250">
        <v>15</v>
      </c>
      <c r="D11" s="251">
        <v>20</v>
      </c>
      <c r="E11" s="250">
        <v>30</v>
      </c>
      <c r="F11" s="51" t="s">
        <v>65</v>
      </c>
      <c r="G11" s="49" t="s">
        <v>334</v>
      </c>
      <c r="H11" s="141">
        <f>('13. Pro-forma Costs'!$I$38+'13. Pro-forma Costs'!$I$6+'13. Pro-forma Costs'!$I$15+'13. Pro-forma Costs'!$I$15+'13. Pro-forma Costs'!$I$12)*C11</f>
        <v>63.824908333333326</v>
      </c>
      <c r="I11" s="141">
        <f>('13. Pro-forma Costs'!$I$38+'13. Pro-forma Costs'!$I$6+'13. Pro-forma Costs'!$I$15+'13. Pro-forma Costs'!$I$15+'13. Pro-forma Costs'!$I$12)*D11</f>
        <v>85.099877777777778</v>
      </c>
      <c r="J11" s="141">
        <f>('13. Pro-forma Costs'!$I$38+'13. Pro-forma Costs'!$I$6+'13. Pro-forma Costs'!$I$15+'13. Pro-forma Costs'!$I$15+'13. Pro-forma Costs'!$I$12)*E11</f>
        <v>127.64981666666665</v>
      </c>
      <c r="K11" s="48"/>
      <c r="L11" s="48"/>
      <c r="M11" s="48"/>
      <c r="N11" s="48"/>
      <c r="O11" s="48"/>
      <c r="P11" s="48"/>
      <c r="Q11" s="48"/>
      <c r="R11" s="48"/>
      <c r="S11" s="48"/>
      <c r="T11" s="48"/>
      <c r="U11" s="48"/>
      <c r="V11" s="48"/>
      <c r="W11" s="48"/>
      <c r="X11" s="48"/>
      <c r="Y11" s="48"/>
      <c r="Z11" s="48"/>
      <c r="AA11" s="48"/>
      <c r="AB11" s="48"/>
      <c r="AC11" s="48"/>
      <c r="AD11" s="48"/>
      <c r="AE11" s="48"/>
      <c r="AF11" s="48"/>
    </row>
    <row r="12" spans="1:32" s="51" customFormat="1" x14ac:dyDescent="0.2">
      <c r="A12" s="51" t="s">
        <v>165</v>
      </c>
      <c r="B12" s="51" t="s">
        <v>224</v>
      </c>
      <c r="C12" s="243">
        <v>90</v>
      </c>
      <c r="D12" s="246">
        <v>120</v>
      </c>
      <c r="E12" s="243">
        <v>150</v>
      </c>
      <c r="F12" s="51" t="s">
        <v>65</v>
      </c>
      <c r="G12" s="49" t="s">
        <v>334</v>
      </c>
      <c r="H12" s="141">
        <f>('13. Pro-forma Costs'!$I$38+'13. Pro-forma Costs'!$I$6+'13. Pro-forma Costs'!$I$15+'13. Pro-forma Costs'!$I$15+'13. Pro-forma Costs'!$I$12)*C12</f>
        <v>382.94944999999996</v>
      </c>
      <c r="I12" s="141">
        <f>('13. Pro-forma Costs'!$I$38+'13. Pro-forma Costs'!$I$6+'13. Pro-forma Costs'!$I$15+'13. Pro-forma Costs'!$I$15+'13. Pro-forma Costs'!$I$12)*D12</f>
        <v>510.59926666666661</v>
      </c>
      <c r="J12" s="141">
        <f>('13. Pro-forma Costs'!$I$38+'13. Pro-forma Costs'!$I$6+'13. Pro-forma Costs'!$I$15+'13. Pro-forma Costs'!$I$15+'13. Pro-forma Costs'!$I$12)*E12</f>
        <v>638.24908333333326</v>
      </c>
      <c r="K12" s="48"/>
      <c r="L12" s="48"/>
      <c r="M12" s="48"/>
      <c r="N12" s="48"/>
      <c r="O12" s="48"/>
      <c r="P12" s="48"/>
      <c r="Q12" s="48"/>
      <c r="R12" s="48"/>
      <c r="S12" s="48"/>
      <c r="T12" s="48"/>
      <c r="U12" s="48"/>
      <c r="V12" s="48"/>
      <c r="W12" s="48"/>
      <c r="X12" s="48"/>
      <c r="Y12" s="48"/>
      <c r="Z12" s="48"/>
      <c r="AA12" s="48"/>
      <c r="AB12" s="48"/>
      <c r="AC12" s="48"/>
      <c r="AD12" s="48"/>
      <c r="AE12" s="48"/>
      <c r="AF12" s="48"/>
    </row>
    <row r="13" spans="1:32" s="51" customFormat="1" x14ac:dyDescent="0.2">
      <c r="A13" s="51" t="s">
        <v>165</v>
      </c>
      <c r="B13" s="51" t="s">
        <v>66</v>
      </c>
      <c r="C13" s="250">
        <v>15</v>
      </c>
      <c r="D13" s="251">
        <v>30</v>
      </c>
      <c r="E13" s="250">
        <v>60</v>
      </c>
      <c r="F13" s="51" t="s">
        <v>129</v>
      </c>
      <c r="G13" s="49" t="s">
        <v>125</v>
      </c>
      <c r="H13" s="141">
        <f>C13*'13. Pro-forma Costs'!$I$38</f>
        <v>4.6806167424242426</v>
      </c>
      <c r="I13" s="141">
        <f>D13*'13. Pro-forma Costs'!$I$38</f>
        <v>9.3612334848484853</v>
      </c>
      <c r="J13" s="141">
        <f>E13*'13. Pro-forma Costs'!$I$38</f>
        <v>18.722466969696971</v>
      </c>
      <c r="K13" s="48"/>
      <c r="L13" s="48"/>
      <c r="M13" s="48"/>
      <c r="N13" s="48"/>
      <c r="O13" s="48"/>
      <c r="P13" s="48"/>
      <c r="Q13" s="48"/>
      <c r="R13" s="48"/>
      <c r="S13" s="48"/>
      <c r="T13" s="48"/>
      <c r="U13" s="48"/>
      <c r="V13" s="48"/>
      <c r="W13" s="48"/>
      <c r="X13" s="48"/>
      <c r="Y13" s="48"/>
      <c r="Z13" s="48"/>
      <c r="AA13" s="48"/>
      <c r="AB13" s="48"/>
      <c r="AC13" s="48"/>
      <c r="AD13" s="48"/>
      <c r="AE13" s="48"/>
      <c r="AF13" s="48"/>
    </row>
    <row r="14" spans="1:32" s="51" customFormat="1" ht="13.5" thickBot="1" x14ac:dyDescent="0.25">
      <c r="A14" s="61" t="s">
        <v>165</v>
      </c>
      <c r="B14" s="61" t="s">
        <v>67</v>
      </c>
      <c r="C14" s="247">
        <v>15</v>
      </c>
      <c r="D14" s="252">
        <v>20</v>
      </c>
      <c r="E14" s="247">
        <v>25</v>
      </c>
      <c r="F14" s="61" t="s">
        <v>65</v>
      </c>
      <c r="G14" s="62" t="s">
        <v>334</v>
      </c>
      <c r="H14" s="142">
        <f>('13. Pro-forma Costs'!$I$38+'13. Pro-forma Costs'!$I$6+'13. Pro-forma Costs'!$I$15+'13. Pro-forma Costs'!$I$15+'13. Pro-forma Costs'!$I$12)*C14</f>
        <v>63.824908333333326</v>
      </c>
      <c r="I14" s="142">
        <f>('13. Pro-forma Costs'!$I$38+'13. Pro-forma Costs'!$I$6+'13. Pro-forma Costs'!$I$15+'13. Pro-forma Costs'!$I$15+'13. Pro-forma Costs'!$I$12)*D14</f>
        <v>85.099877777777778</v>
      </c>
      <c r="J14" s="142">
        <f>('13. Pro-forma Costs'!$I$38+'13. Pro-forma Costs'!$I$6+'13. Pro-forma Costs'!$I$15+'13. Pro-forma Costs'!$I$15+'13. Pro-forma Costs'!$I$12)*E14</f>
        <v>106.37484722222221</v>
      </c>
      <c r="K14" s="48"/>
      <c r="L14" s="48"/>
      <c r="M14" s="48"/>
      <c r="N14" s="48"/>
      <c r="O14" s="48"/>
      <c r="P14" s="48"/>
      <c r="Q14" s="48"/>
      <c r="R14" s="48"/>
      <c r="S14" s="48"/>
      <c r="T14" s="48"/>
      <c r="U14" s="48"/>
      <c r="V14" s="48"/>
      <c r="W14" s="48"/>
      <c r="X14" s="48"/>
      <c r="Y14" s="48"/>
      <c r="Z14" s="48"/>
      <c r="AA14" s="48"/>
      <c r="AB14" s="48"/>
      <c r="AC14" s="48"/>
      <c r="AD14" s="48"/>
      <c r="AE14" s="48"/>
      <c r="AF14" s="48"/>
    </row>
    <row r="15" spans="1:32" s="204" customFormat="1" ht="13.5" thickTop="1" x14ac:dyDescent="0.2">
      <c r="A15" s="204" t="s">
        <v>305</v>
      </c>
      <c r="B15" s="205">
        <f>COUNTA(B7:B14)</f>
        <v>8</v>
      </c>
      <c r="C15" s="205"/>
      <c r="D15" s="205"/>
      <c r="E15" s="205"/>
      <c r="G15" s="206"/>
      <c r="H15" s="207">
        <f>SUM(H7:H14)</f>
        <v>549.60440618686857</v>
      </c>
      <c r="I15" s="207">
        <f t="shared" ref="I15:J15" si="0">SUM(I7:I14)</f>
        <v>758.80930126262626</v>
      </c>
      <c r="J15" s="207">
        <f t="shared" si="0"/>
        <v>1003.3310160101009</v>
      </c>
      <c r="K15" s="202"/>
      <c r="L15" s="202"/>
      <c r="M15" s="202"/>
      <c r="N15" s="202"/>
      <c r="O15" s="202"/>
      <c r="P15" s="202"/>
      <c r="Q15" s="202"/>
      <c r="R15" s="202"/>
      <c r="S15" s="202"/>
      <c r="T15" s="202"/>
      <c r="U15" s="202"/>
      <c r="V15" s="202"/>
      <c r="W15" s="202"/>
      <c r="X15" s="202"/>
      <c r="Y15" s="202"/>
      <c r="Z15" s="202"/>
      <c r="AA15" s="202"/>
      <c r="AB15" s="202"/>
      <c r="AC15" s="202"/>
      <c r="AD15" s="202"/>
      <c r="AE15" s="202"/>
      <c r="AF15" s="202"/>
    </row>
    <row r="16" spans="1:32" s="51" customFormat="1" x14ac:dyDescent="0.2">
      <c r="C16" s="58"/>
      <c r="D16" s="59"/>
      <c r="E16" s="58"/>
      <c r="G16" s="49"/>
      <c r="H16" s="141"/>
      <c r="I16" s="141"/>
      <c r="J16" s="141"/>
      <c r="K16" s="48"/>
      <c r="L16" s="48"/>
      <c r="M16" s="48"/>
      <c r="N16" s="48"/>
      <c r="O16" s="48"/>
      <c r="P16" s="48"/>
      <c r="Q16" s="48"/>
      <c r="R16" s="48"/>
      <c r="S16" s="48"/>
      <c r="T16" s="48"/>
      <c r="U16" s="48"/>
      <c r="V16" s="48"/>
      <c r="W16" s="48"/>
      <c r="X16" s="48"/>
      <c r="Y16" s="48"/>
      <c r="Z16" s="48"/>
      <c r="AA16" s="48"/>
      <c r="AB16" s="48"/>
      <c r="AC16" s="48"/>
      <c r="AD16" s="48"/>
      <c r="AE16" s="48"/>
      <c r="AF16" s="48"/>
    </row>
    <row r="17" spans="1:32" s="51" customFormat="1" x14ac:dyDescent="0.2">
      <c r="A17" s="67" t="s">
        <v>166</v>
      </c>
      <c r="B17" s="67" t="s">
        <v>85</v>
      </c>
      <c r="C17" s="237">
        <v>120</v>
      </c>
      <c r="D17" s="249">
        <v>180</v>
      </c>
      <c r="E17" s="237">
        <v>240</v>
      </c>
      <c r="F17" s="67" t="s">
        <v>129</v>
      </c>
      <c r="G17" s="68" t="s">
        <v>125</v>
      </c>
      <c r="H17" s="140">
        <f>C17*'13. Pro-forma Costs'!$I$38</f>
        <v>37.444933939393941</v>
      </c>
      <c r="I17" s="140">
        <f>D17*'13. Pro-forma Costs'!$I$38</f>
        <v>56.167400909090908</v>
      </c>
      <c r="J17" s="140">
        <f>E17*'13. Pro-forma Costs'!$I$38</f>
        <v>74.889867878787882</v>
      </c>
      <c r="K17" s="48"/>
      <c r="L17" s="48"/>
      <c r="M17" s="48"/>
      <c r="N17" s="48"/>
      <c r="O17" s="48"/>
      <c r="P17" s="48"/>
      <c r="Q17" s="48"/>
      <c r="R17" s="48"/>
      <c r="S17" s="48"/>
      <c r="T17" s="48"/>
      <c r="U17" s="48"/>
      <c r="V17" s="48"/>
      <c r="W17" s="48"/>
      <c r="X17" s="48"/>
      <c r="Y17" s="48"/>
      <c r="Z17" s="48"/>
      <c r="AA17" s="48"/>
      <c r="AB17" s="48"/>
      <c r="AC17" s="48"/>
      <c r="AD17" s="48"/>
      <c r="AE17" s="48"/>
      <c r="AF17" s="48"/>
    </row>
    <row r="18" spans="1:32" s="51" customFormat="1" x14ac:dyDescent="0.2">
      <c r="A18" s="51" t="s">
        <v>166</v>
      </c>
      <c r="B18" s="51" t="s">
        <v>360</v>
      </c>
      <c r="C18" s="250">
        <v>30</v>
      </c>
      <c r="D18" s="251">
        <v>60</v>
      </c>
      <c r="E18" s="250">
        <v>90</v>
      </c>
      <c r="F18" s="51" t="s">
        <v>129</v>
      </c>
      <c r="G18" s="49" t="s">
        <v>125</v>
      </c>
      <c r="H18" s="141">
        <f>C18*'13. Pro-forma Costs'!$I$38</f>
        <v>9.3612334848484853</v>
      </c>
      <c r="I18" s="141">
        <f>D18*'13. Pro-forma Costs'!$I$38</f>
        <v>18.722466969696971</v>
      </c>
      <c r="J18" s="141">
        <f>E18*'13. Pro-forma Costs'!$I$38</f>
        <v>28.083700454545454</v>
      </c>
      <c r="K18" s="48"/>
      <c r="L18" s="48"/>
      <c r="M18" s="48"/>
      <c r="N18" s="48"/>
      <c r="O18" s="48"/>
      <c r="P18" s="48"/>
      <c r="Q18" s="48"/>
      <c r="R18" s="48"/>
      <c r="S18" s="48"/>
      <c r="T18" s="48"/>
      <c r="U18" s="48"/>
      <c r="V18" s="48"/>
      <c r="W18" s="48"/>
      <c r="X18" s="48"/>
      <c r="Y18" s="48"/>
      <c r="Z18" s="48"/>
      <c r="AA18" s="48"/>
      <c r="AB18" s="48"/>
      <c r="AC18" s="48"/>
      <c r="AD18" s="48"/>
      <c r="AE18" s="48"/>
      <c r="AF18" s="48"/>
    </row>
    <row r="19" spans="1:32" s="51" customFormat="1" x14ac:dyDescent="0.2">
      <c r="A19" s="51" t="s">
        <v>166</v>
      </c>
      <c r="B19" s="51" t="s">
        <v>89</v>
      </c>
      <c r="C19" s="250">
        <v>5</v>
      </c>
      <c r="D19" s="251">
        <v>10</v>
      </c>
      <c r="E19" s="250">
        <v>15</v>
      </c>
      <c r="F19" s="51" t="s">
        <v>129</v>
      </c>
      <c r="G19" s="49" t="s">
        <v>125</v>
      </c>
      <c r="H19" s="141">
        <f>C19*'13. Pro-forma Costs'!$I$38</f>
        <v>1.5602055808080808</v>
      </c>
      <c r="I19" s="141">
        <f>D19*'13. Pro-forma Costs'!$I$38</f>
        <v>3.1204111616161616</v>
      </c>
      <c r="J19" s="141">
        <f>E19*'13. Pro-forma Costs'!$I$38</f>
        <v>4.6806167424242426</v>
      </c>
      <c r="K19" s="48"/>
      <c r="L19" s="48"/>
      <c r="M19" s="48"/>
      <c r="N19" s="48"/>
      <c r="O19" s="48"/>
      <c r="P19" s="48"/>
      <c r="Q19" s="48"/>
      <c r="R19" s="48"/>
      <c r="S19" s="48"/>
      <c r="T19" s="48"/>
      <c r="U19" s="48"/>
      <c r="V19" s="48"/>
      <c r="W19" s="48"/>
      <c r="X19" s="48"/>
      <c r="Y19" s="48"/>
      <c r="Z19" s="48"/>
      <c r="AA19" s="48"/>
      <c r="AB19" s="48"/>
      <c r="AC19" s="48"/>
      <c r="AD19" s="48"/>
      <c r="AE19" s="48"/>
      <c r="AF19" s="48"/>
    </row>
    <row r="20" spans="1:32" s="51" customFormat="1" x14ac:dyDescent="0.2">
      <c r="A20" s="51" t="s">
        <v>166</v>
      </c>
      <c r="B20" s="51" t="s">
        <v>174</v>
      </c>
      <c r="C20" s="250">
        <v>15</v>
      </c>
      <c r="D20" s="251">
        <v>20</v>
      </c>
      <c r="E20" s="250">
        <v>30</v>
      </c>
      <c r="F20" s="51" t="s">
        <v>65</v>
      </c>
      <c r="G20" s="49" t="s">
        <v>334</v>
      </c>
      <c r="H20" s="141">
        <f>('13. Pro-forma Costs'!$I$38+'13. Pro-forma Costs'!$I$6+'13. Pro-forma Costs'!$I$15+'13. Pro-forma Costs'!$I$15+'13. Pro-forma Costs'!$I$12)*C20</f>
        <v>63.824908333333326</v>
      </c>
      <c r="I20" s="141">
        <f>('13. Pro-forma Costs'!$I$38+'13. Pro-forma Costs'!$I$6+'13. Pro-forma Costs'!$I$15+'13. Pro-forma Costs'!$I$15+'13. Pro-forma Costs'!$I$12)*D20</f>
        <v>85.099877777777778</v>
      </c>
      <c r="J20" s="141">
        <f>('13. Pro-forma Costs'!$I$38+'13. Pro-forma Costs'!$I$6+'13. Pro-forma Costs'!$I$15+'13. Pro-forma Costs'!$I$15+'13. Pro-forma Costs'!$I$12)*E20</f>
        <v>127.64981666666665</v>
      </c>
      <c r="K20" s="48"/>
      <c r="L20" s="48"/>
      <c r="M20" s="48"/>
      <c r="N20" s="48"/>
      <c r="O20" s="48"/>
      <c r="P20" s="48"/>
      <c r="Q20" s="48"/>
      <c r="R20" s="48"/>
      <c r="S20" s="48"/>
      <c r="T20" s="48"/>
      <c r="U20" s="48"/>
      <c r="V20" s="48"/>
      <c r="W20" s="48"/>
      <c r="X20" s="48"/>
      <c r="Y20" s="48"/>
      <c r="Z20" s="48"/>
      <c r="AA20" s="48"/>
      <c r="AB20" s="48"/>
      <c r="AC20" s="48"/>
      <c r="AD20" s="48"/>
      <c r="AE20" s="48"/>
      <c r="AF20" s="48"/>
    </row>
    <row r="21" spans="1:32" s="51" customFormat="1" x14ac:dyDescent="0.2">
      <c r="A21" s="51" t="s">
        <v>166</v>
      </c>
      <c r="B21" s="51" t="s">
        <v>87</v>
      </c>
      <c r="C21" s="243">
        <v>60</v>
      </c>
      <c r="D21" s="246">
        <v>90</v>
      </c>
      <c r="E21" s="243">
        <v>120</v>
      </c>
      <c r="F21" s="51" t="s">
        <v>65</v>
      </c>
      <c r="G21" s="49" t="s">
        <v>334</v>
      </c>
      <c r="H21" s="141">
        <f>('13. Pro-forma Costs'!$I$38+'13. Pro-forma Costs'!$I$6+'13. Pro-forma Costs'!$I$15+'13. Pro-forma Costs'!$I$15+'13. Pro-forma Costs'!$I$12)*C21</f>
        <v>255.2996333333333</v>
      </c>
      <c r="I21" s="141">
        <f>('13. Pro-forma Costs'!$I$38+'13. Pro-forma Costs'!$I$6+'13. Pro-forma Costs'!$I$15+'13. Pro-forma Costs'!$I$15+'13. Pro-forma Costs'!$I$12)*D21</f>
        <v>382.94944999999996</v>
      </c>
      <c r="J21" s="141">
        <f>('13. Pro-forma Costs'!$I$38+'13. Pro-forma Costs'!$I$6+'13. Pro-forma Costs'!$I$15+'13. Pro-forma Costs'!$I$15+'13. Pro-forma Costs'!$I$12)*E21</f>
        <v>510.59926666666661</v>
      </c>
      <c r="K21" s="48"/>
      <c r="L21" s="48"/>
      <c r="M21" s="48"/>
      <c r="N21" s="48"/>
      <c r="O21" s="48"/>
      <c r="P21" s="48"/>
      <c r="Q21" s="48"/>
      <c r="R21" s="48"/>
      <c r="S21" s="48"/>
      <c r="T21" s="48"/>
      <c r="U21" s="48"/>
      <c r="V21" s="48"/>
      <c r="W21" s="48"/>
      <c r="X21" s="48"/>
      <c r="Y21" s="48"/>
      <c r="Z21" s="48"/>
      <c r="AA21" s="48"/>
      <c r="AB21" s="48"/>
      <c r="AC21" s="48"/>
      <c r="AD21" s="48"/>
      <c r="AE21" s="48"/>
      <c r="AF21" s="48"/>
    </row>
    <row r="22" spans="1:32" s="51" customFormat="1" x14ac:dyDescent="0.2">
      <c r="A22" s="51" t="s">
        <v>166</v>
      </c>
      <c r="B22" s="51" t="s">
        <v>68</v>
      </c>
      <c r="C22" s="243">
        <v>15</v>
      </c>
      <c r="D22" s="246">
        <v>30</v>
      </c>
      <c r="E22" s="243">
        <v>45</v>
      </c>
      <c r="F22" s="51" t="s">
        <v>65</v>
      </c>
      <c r="G22" s="49" t="s">
        <v>334</v>
      </c>
      <c r="H22" s="141">
        <f>('13. Pro-forma Costs'!$I$38+'13. Pro-forma Costs'!$I$6+'13. Pro-forma Costs'!$I$15+'13. Pro-forma Costs'!$I$15+'13. Pro-forma Costs'!$I$12)*C22</f>
        <v>63.824908333333326</v>
      </c>
      <c r="I22" s="141">
        <f>('13. Pro-forma Costs'!$I$38+'13. Pro-forma Costs'!$I$6+'13. Pro-forma Costs'!$I$15+'13. Pro-forma Costs'!$I$15+'13. Pro-forma Costs'!$I$12)*D22</f>
        <v>127.64981666666665</v>
      </c>
      <c r="J22" s="141">
        <f>('13. Pro-forma Costs'!$I$38+'13. Pro-forma Costs'!$I$6+'13. Pro-forma Costs'!$I$15+'13. Pro-forma Costs'!$I$15+'13. Pro-forma Costs'!$I$12)*E22</f>
        <v>191.47472499999998</v>
      </c>
      <c r="K22" s="48"/>
      <c r="L22" s="48"/>
      <c r="M22" s="48"/>
      <c r="N22" s="48"/>
      <c r="O22" s="48"/>
      <c r="P22" s="48"/>
      <c r="Q22" s="48"/>
      <c r="R22" s="48"/>
      <c r="S22" s="48"/>
      <c r="T22" s="48"/>
      <c r="U22" s="48"/>
      <c r="V22" s="48"/>
      <c r="W22" s="48"/>
      <c r="X22" s="48"/>
      <c r="Y22" s="48"/>
      <c r="Z22" s="48"/>
      <c r="AA22" s="48"/>
      <c r="AB22" s="48"/>
      <c r="AC22" s="48"/>
      <c r="AD22" s="48"/>
      <c r="AE22" s="48"/>
      <c r="AF22" s="48"/>
    </row>
    <row r="23" spans="1:32" s="51" customFormat="1" x14ac:dyDescent="0.2">
      <c r="A23" s="51" t="s">
        <v>166</v>
      </c>
      <c r="B23" s="51" t="s">
        <v>66</v>
      </c>
      <c r="C23" s="250">
        <v>30</v>
      </c>
      <c r="D23" s="251">
        <v>60</v>
      </c>
      <c r="E23" s="250">
        <v>90</v>
      </c>
      <c r="F23" s="51" t="s">
        <v>129</v>
      </c>
      <c r="G23" s="49" t="s">
        <v>125</v>
      </c>
      <c r="H23" s="141">
        <f>C23*'13. Pro-forma Costs'!$I$38</f>
        <v>9.3612334848484853</v>
      </c>
      <c r="I23" s="141">
        <f>D23*'13. Pro-forma Costs'!$I$38</f>
        <v>18.722466969696971</v>
      </c>
      <c r="J23" s="141">
        <f>E23*'13. Pro-forma Costs'!$I$38</f>
        <v>28.083700454545454</v>
      </c>
      <c r="K23" s="48"/>
      <c r="L23" s="48"/>
      <c r="M23" s="48"/>
      <c r="N23" s="48"/>
      <c r="O23" s="48"/>
      <c r="P23" s="48"/>
      <c r="Q23" s="48"/>
      <c r="R23" s="48"/>
      <c r="S23" s="48"/>
      <c r="T23" s="48"/>
      <c r="U23" s="48"/>
      <c r="V23" s="48"/>
      <c r="W23" s="48"/>
      <c r="X23" s="48"/>
      <c r="Y23" s="48"/>
      <c r="Z23" s="48"/>
      <c r="AA23" s="48"/>
      <c r="AB23" s="48"/>
      <c r="AC23" s="48"/>
      <c r="AD23" s="48"/>
      <c r="AE23" s="48"/>
      <c r="AF23" s="48"/>
    </row>
    <row r="24" spans="1:32" s="51" customFormat="1" ht="13.5" thickBot="1" x14ac:dyDescent="0.25">
      <c r="A24" s="61" t="s">
        <v>166</v>
      </c>
      <c r="B24" s="61" t="s">
        <v>67</v>
      </c>
      <c r="C24" s="247">
        <v>15</v>
      </c>
      <c r="D24" s="252">
        <v>20</v>
      </c>
      <c r="E24" s="247">
        <v>25</v>
      </c>
      <c r="F24" s="61" t="s">
        <v>65</v>
      </c>
      <c r="G24" s="62" t="s">
        <v>334</v>
      </c>
      <c r="H24" s="142">
        <f>('13. Pro-forma Costs'!$I$38+'13. Pro-forma Costs'!$I$6+'13. Pro-forma Costs'!$I$15+'13. Pro-forma Costs'!$I$15+'13. Pro-forma Costs'!$I$12)*C24</f>
        <v>63.824908333333326</v>
      </c>
      <c r="I24" s="142">
        <f>('13. Pro-forma Costs'!$I$38+'13. Pro-forma Costs'!$I$6+'13. Pro-forma Costs'!$I$15+'13. Pro-forma Costs'!$I$15+'13. Pro-forma Costs'!$I$12)*D24</f>
        <v>85.099877777777778</v>
      </c>
      <c r="J24" s="142">
        <f>('13. Pro-forma Costs'!$I$38+'13. Pro-forma Costs'!$I$6+'13. Pro-forma Costs'!$I$15+'13. Pro-forma Costs'!$I$15+'13. Pro-forma Costs'!$I$12)*E24</f>
        <v>106.37484722222221</v>
      </c>
      <c r="K24" s="48"/>
      <c r="L24" s="48"/>
      <c r="M24" s="48"/>
      <c r="N24" s="48"/>
      <c r="O24" s="48"/>
      <c r="P24" s="48"/>
      <c r="Q24" s="48"/>
      <c r="R24" s="48"/>
      <c r="S24" s="48"/>
      <c r="T24" s="48"/>
      <c r="U24" s="48"/>
      <c r="V24" s="48"/>
      <c r="W24" s="48"/>
      <c r="X24" s="48"/>
      <c r="Y24" s="48"/>
      <c r="Z24" s="48"/>
      <c r="AA24" s="48"/>
      <c r="AB24" s="48"/>
      <c r="AC24" s="48"/>
      <c r="AD24" s="48"/>
      <c r="AE24" s="48"/>
      <c r="AF24" s="48"/>
    </row>
    <row r="25" spans="1:32" s="204" customFormat="1" ht="13.5" thickTop="1" x14ac:dyDescent="0.2">
      <c r="A25" s="204" t="s">
        <v>305</v>
      </c>
      <c r="B25" s="205">
        <f>COUNTA(B17:B24)</f>
        <v>8</v>
      </c>
      <c r="C25" s="205"/>
      <c r="D25" s="205"/>
      <c r="E25" s="205"/>
      <c r="G25" s="206"/>
      <c r="H25" s="207">
        <f>SUM(H17:H24)</f>
        <v>504.50196482323224</v>
      </c>
      <c r="I25" s="207">
        <f t="shared" ref="I25:J25" si="1">SUM(I17:I24)</f>
        <v>777.5317682323232</v>
      </c>
      <c r="J25" s="207">
        <f t="shared" si="1"/>
        <v>1071.8365410858585</v>
      </c>
      <c r="K25" s="202"/>
      <c r="L25" s="202"/>
      <c r="M25" s="202"/>
      <c r="N25" s="202"/>
      <c r="O25" s="202"/>
      <c r="P25" s="202"/>
      <c r="Q25" s="202"/>
      <c r="R25" s="202"/>
      <c r="S25" s="202"/>
      <c r="T25" s="202"/>
      <c r="U25" s="202"/>
      <c r="V25" s="202"/>
      <c r="W25" s="202"/>
      <c r="X25" s="202"/>
      <c r="Y25" s="202"/>
      <c r="Z25" s="202"/>
      <c r="AA25" s="202"/>
      <c r="AB25" s="202"/>
      <c r="AC25" s="202"/>
      <c r="AD25" s="202"/>
      <c r="AE25" s="202"/>
      <c r="AF25" s="202"/>
    </row>
    <row r="26" spans="1:32" s="51" customFormat="1" x14ac:dyDescent="0.2">
      <c r="C26" s="58"/>
      <c r="D26" s="59"/>
      <c r="E26" s="58"/>
      <c r="G26" s="49"/>
      <c r="H26" s="141"/>
      <c r="I26" s="141"/>
      <c r="J26" s="141"/>
      <c r="K26" s="48"/>
      <c r="L26" s="48"/>
      <c r="M26" s="48"/>
      <c r="N26" s="48"/>
      <c r="O26" s="48"/>
      <c r="P26" s="48"/>
      <c r="Q26" s="48"/>
      <c r="R26" s="48"/>
      <c r="S26" s="48"/>
      <c r="T26" s="48"/>
      <c r="U26" s="48"/>
      <c r="V26" s="48"/>
      <c r="W26" s="48"/>
      <c r="X26" s="48"/>
      <c r="Y26" s="48"/>
      <c r="Z26" s="48"/>
      <c r="AA26" s="48"/>
      <c r="AB26" s="48"/>
      <c r="AC26" s="48"/>
      <c r="AD26" s="48"/>
      <c r="AE26" s="48"/>
      <c r="AF26" s="48"/>
    </row>
    <row r="27" spans="1:32" s="51" customFormat="1" x14ac:dyDescent="0.2">
      <c r="A27" s="67" t="s">
        <v>167</v>
      </c>
      <c r="B27" s="67" t="s">
        <v>86</v>
      </c>
      <c r="C27" s="237">
        <v>60</v>
      </c>
      <c r="D27" s="249">
        <v>90</v>
      </c>
      <c r="E27" s="237">
        <v>120</v>
      </c>
      <c r="F27" s="67" t="s">
        <v>129</v>
      </c>
      <c r="G27" s="68" t="s">
        <v>125</v>
      </c>
      <c r="H27" s="140">
        <f>C27*'13. Pro-forma Costs'!$I$38</f>
        <v>18.722466969696971</v>
      </c>
      <c r="I27" s="140">
        <f>D27*'13. Pro-forma Costs'!$I$38</f>
        <v>28.083700454545454</v>
      </c>
      <c r="J27" s="140">
        <f>E27*'13. Pro-forma Costs'!$I$38</f>
        <v>37.444933939393941</v>
      </c>
      <c r="K27" s="48"/>
      <c r="L27" s="48"/>
      <c r="M27" s="48"/>
      <c r="N27" s="48"/>
      <c r="O27" s="48"/>
      <c r="P27" s="48"/>
      <c r="Q27" s="48"/>
      <c r="R27" s="48"/>
      <c r="S27" s="48"/>
      <c r="T27" s="48"/>
      <c r="U27" s="48"/>
      <c r="V27" s="48"/>
      <c r="W27" s="48"/>
      <c r="X27" s="48"/>
      <c r="Y27" s="48"/>
      <c r="Z27" s="48"/>
      <c r="AA27" s="48"/>
      <c r="AB27" s="48"/>
      <c r="AC27" s="48"/>
      <c r="AD27" s="48"/>
      <c r="AE27" s="48"/>
      <c r="AF27" s="48"/>
    </row>
    <row r="28" spans="1:32" s="51" customFormat="1" x14ac:dyDescent="0.2">
      <c r="A28" s="51" t="s">
        <v>167</v>
      </c>
      <c r="B28" s="51" t="s">
        <v>158</v>
      </c>
      <c r="C28" s="250">
        <v>30</v>
      </c>
      <c r="D28" s="251">
        <v>60</v>
      </c>
      <c r="E28" s="250">
        <v>90</v>
      </c>
      <c r="F28" s="51" t="s">
        <v>129</v>
      </c>
      <c r="G28" s="49" t="s">
        <v>125</v>
      </c>
      <c r="H28" s="141">
        <f>C28*'13. Pro-forma Costs'!$I$38</f>
        <v>9.3612334848484853</v>
      </c>
      <c r="I28" s="141">
        <f>D28*'13. Pro-forma Costs'!$I$38</f>
        <v>18.722466969696971</v>
      </c>
      <c r="J28" s="141">
        <f>E28*'13. Pro-forma Costs'!$I$38</f>
        <v>28.083700454545454</v>
      </c>
      <c r="K28" s="48"/>
      <c r="L28" s="48"/>
      <c r="M28" s="48"/>
      <c r="N28" s="48"/>
      <c r="O28" s="48"/>
      <c r="P28" s="48"/>
      <c r="Q28" s="48"/>
      <c r="R28" s="48"/>
      <c r="S28" s="48"/>
      <c r="T28" s="48"/>
      <c r="U28" s="48"/>
      <c r="V28" s="48"/>
      <c r="W28" s="48"/>
      <c r="X28" s="48"/>
      <c r="Y28" s="48"/>
      <c r="Z28" s="48"/>
      <c r="AA28" s="48"/>
      <c r="AB28" s="48"/>
      <c r="AC28" s="48"/>
      <c r="AD28" s="48"/>
      <c r="AE28" s="48"/>
      <c r="AF28" s="48"/>
    </row>
    <row r="29" spans="1:32" s="51" customFormat="1" x14ac:dyDescent="0.2">
      <c r="A29" s="51" t="s">
        <v>167</v>
      </c>
      <c r="B29" s="51" t="s">
        <v>90</v>
      </c>
      <c r="C29" s="250">
        <v>15</v>
      </c>
      <c r="D29" s="251">
        <v>20</v>
      </c>
      <c r="E29" s="250">
        <v>30</v>
      </c>
      <c r="F29" s="51" t="s">
        <v>129</v>
      </c>
      <c r="G29" s="49" t="s">
        <v>125</v>
      </c>
      <c r="H29" s="141">
        <f>C29*'13. Pro-forma Costs'!$I$38</f>
        <v>4.6806167424242426</v>
      </c>
      <c r="I29" s="141">
        <f>D29*'13. Pro-forma Costs'!$I$38</f>
        <v>6.2408223232323232</v>
      </c>
      <c r="J29" s="141">
        <f>E29*'13. Pro-forma Costs'!$I$38</f>
        <v>9.3612334848484853</v>
      </c>
      <c r="K29" s="48"/>
      <c r="L29" s="48"/>
      <c r="M29" s="48"/>
      <c r="N29" s="48"/>
      <c r="O29" s="48"/>
      <c r="P29" s="48"/>
      <c r="Q29" s="48"/>
      <c r="R29" s="48"/>
      <c r="S29" s="48"/>
      <c r="T29" s="48"/>
      <c r="U29" s="48"/>
      <c r="V29" s="48"/>
      <c r="W29" s="48"/>
      <c r="X29" s="48"/>
      <c r="Y29" s="48"/>
      <c r="Z29" s="48"/>
      <c r="AA29" s="48"/>
      <c r="AB29" s="48"/>
      <c r="AC29" s="48"/>
      <c r="AD29" s="48"/>
      <c r="AE29" s="48"/>
      <c r="AF29" s="48"/>
    </row>
    <row r="30" spans="1:32" s="51" customFormat="1" x14ac:dyDescent="0.2">
      <c r="A30" s="51" t="s">
        <v>167</v>
      </c>
      <c r="B30" s="51" t="s">
        <v>68</v>
      </c>
      <c r="C30" s="243">
        <v>60</v>
      </c>
      <c r="D30" s="246">
        <v>90</v>
      </c>
      <c r="E30" s="243">
        <v>120</v>
      </c>
      <c r="F30" s="51" t="s">
        <v>65</v>
      </c>
      <c r="G30" s="49" t="s">
        <v>334</v>
      </c>
      <c r="H30" s="141">
        <f>('13. Pro-forma Costs'!$I$38+'13. Pro-forma Costs'!$I$6+'13. Pro-forma Costs'!$I$15+'13. Pro-forma Costs'!$I$15+'13. Pro-forma Costs'!$I$12)*C30</f>
        <v>255.2996333333333</v>
      </c>
      <c r="I30" s="141">
        <f>('13. Pro-forma Costs'!$I$38+'13. Pro-forma Costs'!$I$6+'13. Pro-forma Costs'!$I$15+'13. Pro-forma Costs'!$I$15+'13. Pro-forma Costs'!$I$12)*D30</f>
        <v>382.94944999999996</v>
      </c>
      <c r="J30" s="141">
        <f>('13. Pro-forma Costs'!$I$38+'13. Pro-forma Costs'!$I$6+'13. Pro-forma Costs'!$I$15+'13. Pro-forma Costs'!$I$15+'13. Pro-forma Costs'!$I$12)*E30</f>
        <v>510.59926666666661</v>
      </c>
      <c r="K30" s="48"/>
      <c r="L30" s="48"/>
      <c r="M30" s="48"/>
      <c r="N30" s="48"/>
      <c r="O30" s="48"/>
      <c r="P30" s="48"/>
      <c r="Q30" s="48"/>
      <c r="R30" s="48"/>
      <c r="S30" s="48"/>
      <c r="T30" s="48"/>
      <c r="U30" s="48"/>
      <c r="V30" s="48"/>
      <c r="W30" s="48"/>
      <c r="X30" s="48"/>
      <c r="Y30" s="48"/>
      <c r="Z30" s="48"/>
      <c r="AA30" s="48"/>
      <c r="AB30" s="48"/>
      <c r="AC30" s="48"/>
      <c r="AD30" s="48"/>
      <c r="AE30" s="48"/>
      <c r="AF30" s="48"/>
    </row>
    <row r="31" spans="1:32" s="51" customFormat="1" x14ac:dyDescent="0.2">
      <c r="A31" s="51" t="s">
        <v>167</v>
      </c>
      <c r="B31" s="51" t="s">
        <v>66</v>
      </c>
      <c r="C31" s="250">
        <v>15</v>
      </c>
      <c r="D31" s="251">
        <v>30</v>
      </c>
      <c r="E31" s="250">
        <v>60</v>
      </c>
      <c r="F31" s="51" t="s">
        <v>129</v>
      </c>
      <c r="G31" s="49" t="s">
        <v>125</v>
      </c>
      <c r="H31" s="141">
        <f>C31*'13. Pro-forma Costs'!$I$38</f>
        <v>4.6806167424242426</v>
      </c>
      <c r="I31" s="141">
        <f>D31*'13. Pro-forma Costs'!$I$38</f>
        <v>9.3612334848484853</v>
      </c>
      <c r="J31" s="141">
        <f>E31*'13. Pro-forma Costs'!$I$38</f>
        <v>18.722466969696971</v>
      </c>
      <c r="K31" s="48"/>
      <c r="L31" s="48"/>
      <c r="M31" s="48"/>
      <c r="N31" s="48"/>
      <c r="O31" s="48"/>
      <c r="P31" s="48"/>
      <c r="Q31" s="48"/>
      <c r="R31" s="48"/>
      <c r="S31" s="48"/>
      <c r="T31" s="48"/>
      <c r="U31" s="48"/>
      <c r="V31" s="48"/>
      <c r="W31" s="48"/>
      <c r="X31" s="48"/>
      <c r="Y31" s="48"/>
      <c r="Z31" s="48"/>
      <c r="AA31" s="48"/>
      <c r="AB31" s="48"/>
      <c r="AC31" s="48"/>
      <c r="AD31" s="48"/>
      <c r="AE31" s="48"/>
      <c r="AF31" s="48"/>
    </row>
    <row r="32" spans="1:32" s="51" customFormat="1" ht="13.5" thickBot="1" x14ac:dyDescent="0.25">
      <c r="A32" s="61" t="s">
        <v>167</v>
      </c>
      <c r="B32" s="61" t="s">
        <v>67</v>
      </c>
      <c r="C32" s="247">
        <v>10</v>
      </c>
      <c r="D32" s="252">
        <v>15</v>
      </c>
      <c r="E32" s="247">
        <v>20</v>
      </c>
      <c r="F32" s="61" t="s">
        <v>65</v>
      </c>
      <c r="G32" s="62" t="s">
        <v>334</v>
      </c>
      <c r="H32" s="142">
        <f>('13. Pro-forma Costs'!$I$38+'13. Pro-forma Costs'!$I$6+'13. Pro-forma Costs'!$I$15+'13. Pro-forma Costs'!$I$15+'13. Pro-forma Costs'!$I$12)*C32</f>
        <v>42.549938888888889</v>
      </c>
      <c r="I32" s="142">
        <f>('13. Pro-forma Costs'!$I$38+'13. Pro-forma Costs'!$I$6+'13. Pro-forma Costs'!$I$15+'13. Pro-forma Costs'!$I$15+'13. Pro-forma Costs'!$I$12)*D32</f>
        <v>63.824908333333326</v>
      </c>
      <c r="J32" s="142">
        <f>('13. Pro-forma Costs'!$I$38+'13. Pro-forma Costs'!$I$6+'13. Pro-forma Costs'!$I$15+'13. Pro-forma Costs'!$I$15+'13. Pro-forma Costs'!$I$12)*E32</f>
        <v>85.099877777777778</v>
      </c>
      <c r="K32" s="48"/>
      <c r="L32" s="48"/>
      <c r="M32" s="48"/>
      <c r="N32" s="48"/>
      <c r="O32" s="48"/>
      <c r="P32" s="48"/>
      <c r="Q32" s="48"/>
      <c r="R32" s="48"/>
      <c r="S32" s="48"/>
      <c r="T32" s="48"/>
      <c r="U32" s="48"/>
      <c r="V32" s="48"/>
      <c r="W32" s="48"/>
      <c r="X32" s="48"/>
      <c r="Y32" s="48"/>
      <c r="Z32" s="48"/>
      <c r="AA32" s="48"/>
      <c r="AB32" s="48"/>
      <c r="AC32" s="48"/>
      <c r="AD32" s="48"/>
      <c r="AE32" s="48"/>
      <c r="AF32" s="48"/>
    </row>
    <row r="33" spans="1:32" s="204" customFormat="1" ht="13.5" thickTop="1" x14ac:dyDescent="0.2">
      <c r="A33" s="204" t="s">
        <v>305</v>
      </c>
      <c r="B33" s="205">
        <f>COUNTA(B27:B32)</f>
        <v>6</v>
      </c>
      <c r="C33" s="205"/>
      <c r="D33" s="205"/>
      <c r="E33" s="205"/>
      <c r="G33" s="206"/>
      <c r="H33" s="207">
        <f>SUM(H27:H32)</f>
        <v>335.2945061616162</v>
      </c>
      <c r="I33" s="207">
        <f t="shared" ref="I33:J33" si="2">SUM(I27:I32)</f>
        <v>509.18258156565651</v>
      </c>
      <c r="J33" s="207">
        <f t="shared" si="2"/>
        <v>689.31147929292922</v>
      </c>
      <c r="K33" s="202"/>
      <c r="L33" s="202"/>
      <c r="M33" s="202"/>
      <c r="N33" s="202"/>
      <c r="O33" s="202"/>
      <c r="P33" s="202"/>
      <c r="Q33" s="202"/>
      <c r="R33" s="202"/>
      <c r="S33" s="202"/>
      <c r="T33" s="202"/>
      <c r="U33" s="202"/>
      <c r="V33" s="202"/>
      <c r="W33" s="202"/>
      <c r="X33" s="202"/>
      <c r="Y33" s="202"/>
      <c r="Z33" s="202"/>
      <c r="AA33" s="202"/>
      <c r="AB33" s="202"/>
      <c r="AC33" s="202"/>
      <c r="AD33" s="202"/>
      <c r="AE33" s="202"/>
      <c r="AF33" s="202"/>
    </row>
    <row r="34" spans="1:32" s="51" customFormat="1" x14ac:dyDescent="0.2">
      <c r="C34" s="58"/>
      <c r="D34" s="59"/>
      <c r="E34" s="58"/>
      <c r="G34" s="49"/>
      <c r="H34" s="141"/>
      <c r="I34" s="141"/>
      <c r="J34" s="141"/>
      <c r="K34" s="48"/>
      <c r="L34" s="46"/>
      <c r="M34" s="48"/>
      <c r="N34" s="48"/>
      <c r="O34" s="48"/>
      <c r="P34" s="48"/>
      <c r="Q34" s="48"/>
      <c r="R34" s="48"/>
      <c r="S34" s="48"/>
      <c r="T34" s="48"/>
      <c r="U34" s="48"/>
      <c r="V34" s="48"/>
      <c r="W34" s="48"/>
      <c r="X34" s="48"/>
      <c r="Y34" s="48"/>
      <c r="Z34" s="48"/>
      <c r="AA34" s="48"/>
      <c r="AB34" s="48"/>
      <c r="AC34" s="48"/>
      <c r="AD34" s="48"/>
      <c r="AE34" s="48"/>
      <c r="AF34" s="48"/>
    </row>
    <row r="35" spans="1:32" x14ac:dyDescent="0.2">
      <c r="A35" s="71" t="s">
        <v>82</v>
      </c>
      <c r="B35" s="71" t="s">
        <v>81</v>
      </c>
      <c r="C35" s="242">
        <v>30</v>
      </c>
      <c r="D35" s="245">
        <v>45</v>
      </c>
      <c r="E35" s="242">
        <v>60</v>
      </c>
      <c r="F35" s="67" t="s">
        <v>129</v>
      </c>
      <c r="G35" s="68" t="s">
        <v>125</v>
      </c>
      <c r="H35" s="140">
        <f>C35*'13. Pro-forma Costs'!$I$38</f>
        <v>9.3612334848484853</v>
      </c>
      <c r="I35" s="140">
        <f>D35*'13. Pro-forma Costs'!$I$38</f>
        <v>14.041850227272727</v>
      </c>
      <c r="J35" s="140">
        <f>E35*'13. Pro-forma Costs'!$I$38</f>
        <v>18.722466969696971</v>
      </c>
      <c r="K35" s="48"/>
      <c r="M35" s="48"/>
      <c r="N35" s="48"/>
      <c r="O35" s="48"/>
      <c r="P35" s="48"/>
      <c r="Q35" s="48"/>
      <c r="R35" s="48"/>
      <c r="S35" s="48"/>
      <c r="T35" s="48"/>
      <c r="U35" s="48"/>
      <c r="V35" s="48"/>
      <c r="W35" s="48"/>
      <c r="X35" s="48"/>
      <c r="Y35" s="48"/>
      <c r="Z35" s="48"/>
      <c r="AA35" s="48"/>
      <c r="AB35" s="48"/>
      <c r="AC35" s="48"/>
      <c r="AD35" s="48"/>
      <c r="AE35" s="48"/>
      <c r="AF35" s="48"/>
    </row>
    <row r="36" spans="1:32" ht="13.5" thickBot="1" x14ac:dyDescent="0.25">
      <c r="A36" s="72" t="s">
        <v>82</v>
      </c>
      <c r="B36" s="72" t="s">
        <v>303</v>
      </c>
      <c r="C36" s="244">
        <v>5</v>
      </c>
      <c r="D36" s="248">
        <v>10</v>
      </c>
      <c r="E36" s="244">
        <v>16</v>
      </c>
      <c r="F36" s="61" t="s">
        <v>129</v>
      </c>
      <c r="G36" s="62" t="s">
        <v>125</v>
      </c>
      <c r="H36" s="142">
        <f>C36*'13. Pro-forma Costs'!$I$38</f>
        <v>1.5602055808080808</v>
      </c>
      <c r="I36" s="142">
        <f>D36*'13. Pro-forma Costs'!$I$38</f>
        <v>3.1204111616161616</v>
      </c>
      <c r="J36" s="142">
        <f>E36*'13. Pro-forma Costs'!$I$38</f>
        <v>4.9926578585858588</v>
      </c>
      <c r="K36" s="48"/>
      <c r="M36" s="48"/>
      <c r="N36" s="48"/>
      <c r="O36" s="48"/>
      <c r="P36" s="48"/>
      <c r="Q36" s="48"/>
      <c r="R36" s="48"/>
      <c r="S36" s="48"/>
      <c r="T36" s="48"/>
      <c r="U36" s="48"/>
      <c r="V36" s="48"/>
      <c r="W36" s="48"/>
      <c r="X36" s="48"/>
      <c r="Y36" s="48"/>
      <c r="Z36" s="48"/>
      <c r="AA36" s="48"/>
      <c r="AB36" s="48"/>
      <c r="AC36" s="48"/>
      <c r="AD36" s="48"/>
      <c r="AE36" s="48"/>
      <c r="AF36" s="48"/>
    </row>
    <row r="37" spans="1:32" s="208" customFormat="1" ht="13.5" thickTop="1" x14ac:dyDescent="0.2">
      <c r="A37" s="202" t="s">
        <v>305</v>
      </c>
      <c r="B37" s="206">
        <f>COUNTA(B35:B36)</f>
        <v>2</v>
      </c>
      <c r="C37" s="206"/>
      <c r="D37" s="206"/>
      <c r="E37" s="206"/>
      <c r="F37" s="202"/>
      <c r="G37" s="206"/>
      <c r="H37" s="207">
        <f>SUM(H35:H36)</f>
        <v>10.921439065656566</v>
      </c>
      <c r="I37" s="207">
        <f>SUM(I35:I36)</f>
        <v>17.16226138888889</v>
      </c>
      <c r="J37" s="207">
        <f>SUM(J35:J36)</f>
        <v>23.715124828282828</v>
      </c>
      <c r="K37" s="202"/>
      <c r="M37" s="202"/>
      <c r="N37" s="202"/>
      <c r="O37" s="202"/>
      <c r="P37" s="202"/>
      <c r="Q37" s="202"/>
      <c r="R37" s="202"/>
      <c r="S37" s="202"/>
      <c r="T37" s="202"/>
      <c r="U37" s="202"/>
      <c r="V37" s="202"/>
      <c r="W37" s="202"/>
      <c r="X37" s="202"/>
      <c r="Y37" s="202"/>
      <c r="Z37" s="202"/>
      <c r="AA37" s="202"/>
      <c r="AB37" s="202"/>
      <c r="AC37" s="202"/>
      <c r="AD37" s="202"/>
      <c r="AE37" s="202"/>
      <c r="AF37" s="202"/>
    </row>
    <row r="38" spans="1:32" x14ac:dyDescent="0.2">
      <c r="A38" s="48"/>
      <c r="B38" s="48"/>
      <c r="C38" s="49"/>
      <c r="D38" s="50"/>
      <c r="E38" s="49"/>
      <c r="F38" s="48"/>
      <c r="G38" s="49"/>
      <c r="H38" s="141"/>
      <c r="I38" s="141"/>
      <c r="J38" s="141"/>
      <c r="K38" s="48"/>
      <c r="M38" s="48"/>
      <c r="N38" s="48"/>
      <c r="O38" s="48"/>
      <c r="P38" s="48"/>
      <c r="Q38" s="48"/>
      <c r="R38" s="48"/>
      <c r="S38" s="48"/>
      <c r="T38" s="48"/>
      <c r="U38" s="48"/>
      <c r="V38" s="48"/>
      <c r="W38" s="48"/>
      <c r="X38" s="48"/>
      <c r="Y38" s="48"/>
      <c r="Z38" s="48"/>
      <c r="AA38" s="48"/>
      <c r="AB38" s="48"/>
      <c r="AC38" s="48"/>
      <c r="AD38" s="48"/>
      <c r="AE38" s="48"/>
      <c r="AF38" s="48"/>
    </row>
    <row r="39" spans="1:32" s="51" customFormat="1" x14ac:dyDescent="0.2">
      <c r="A39" s="67" t="s">
        <v>157</v>
      </c>
      <c r="B39" s="67" t="s">
        <v>144</v>
      </c>
      <c r="C39" s="237">
        <v>10</v>
      </c>
      <c r="D39" s="237">
        <v>20</v>
      </c>
      <c r="E39" s="237">
        <v>30</v>
      </c>
      <c r="F39" s="67" t="s">
        <v>129</v>
      </c>
      <c r="G39" s="68" t="s">
        <v>125</v>
      </c>
      <c r="H39" s="140">
        <f>C39*'13. Pro-forma Costs'!$I$38</f>
        <v>3.1204111616161616</v>
      </c>
      <c r="I39" s="140">
        <f>D39*'13. Pro-forma Costs'!$I$38</f>
        <v>6.2408223232323232</v>
      </c>
      <c r="J39" s="140">
        <f>E39*'13. Pro-forma Costs'!$I$38</f>
        <v>9.3612334848484853</v>
      </c>
      <c r="K39" s="48"/>
      <c r="L39" s="46"/>
      <c r="M39" s="48"/>
      <c r="N39" s="48"/>
      <c r="O39" s="48"/>
      <c r="P39" s="48"/>
      <c r="Q39" s="48"/>
      <c r="R39" s="48"/>
      <c r="S39" s="48"/>
      <c r="T39" s="48"/>
      <c r="U39" s="48"/>
      <c r="V39" s="48"/>
      <c r="W39" s="48"/>
      <c r="X39" s="48"/>
      <c r="Y39" s="48"/>
      <c r="Z39" s="48"/>
      <c r="AA39" s="48"/>
      <c r="AB39" s="48"/>
      <c r="AC39" s="48"/>
      <c r="AD39" s="48"/>
      <c r="AE39" s="48"/>
      <c r="AF39" s="48"/>
    </row>
    <row r="40" spans="1:32" x14ac:dyDescent="0.2">
      <c r="A40" s="48" t="s">
        <v>157</v>
      </c>
      <c r="B40" s="48" t="s">
        <v>145</v>
      </c>
      <c r="C40" s="243">
        <v>20</v>
      </c>
      <c r="D40" s="243">
        <v>30</v>
      </c>
      <c r="E40" s="243">
        <v>40</v>
      </c>
      <c r="F40" s="51" t="s">
        <v>129</v>
      </c>
      <c r="G40" s="49" t="s">
        <v>125</v>
      </c>
      <c r="H40" s="141">
        <f>C40*'13. Pro-forma Costs'!$I$38</f>
        <v>6.2408223232323232</v>
      </c>
      <c r="I40" s="141">
        <f>D40*'13. Pro-forma Costs'!$I$38</f>
        <v>9.3612334848484853</v>
      </c>
      <c r="J40" s="141">
        <f>E40*'13. Pro-forma Costs'!$I$38</f>
        <v>12.481644646464646</v>
      </c>
      <c r="K40" s="48"/>
      <c r="M40" s="48"/>
      <c r="N40" s="48"/>
      <c r="O40" s="48"/>
      <c r="P40" s="48"/>
      <c r="Q40" s="48"/>
      <c r="R40" s="48"/>
      <c r="S40" s="48"/>
      <c r="T40" s="48"/>
      <c r="U40" s="48"/>
      <c r="V40" s="48"/>
      <c r="W40" s="48"/>
      <c r="X40" s="48"/>
      <c r="Y40" s="48"/>
      <c r="Z40" s="48"/>
      <c r="AA40" s="48"/>
      <c r="AB40" s="48"/>
      <c r="AC40" s="48"/>
      <c r="AD40" s="48"/>
      <c r="AE40" s="48"/>
      <c r="AF40" s="48"/>
    </row>
    <row r="41" spans="1:32" x14ac:dyDescent="0.2">
      <c r="A41" s="51" t="s">
        <v>157</v>
      </c>
      <c r="B41" s="51" t="s">
        <v>147</v>
      </c>
      <c r="C41" s="243">
        <v>10</v>
      </c>
      <c r="D41" s="243">
        <v>20</v>
      </c>
      <c r="E41" s="243">
        <v>30</v>
      </c>
      <c r="F41" s="51" t="s">
        <v>256</v>
      </c>
      <c r="G41" s="58" t="s">
        <v>125</v>
      </c>
      <c r="H41" s="141">
        <f>C41*'13. Pro-forma Costs'!$I$38</f>
        <v>3.1204111616161616</v>
      </c>
      <c r="I41" s="141">
        <f>D41*'13. Pro-forma Costs'!$I$38</f>
        <v>6.2408223232323232</v>
      </c>
      <c r="J41" s="141">
        <f>E41*'13. Pro-forma Costs'!$I$38</f>
        <v>9.3612334848484853</v>
      </c>
      <c r="K41" s="48"/>
      <c r="M41" s="48"/>
      <c r="N41" s="48"/>
      <c r="O41" s="48"/>
      <c r="P41" s="48"/>
      <c r="Q41" s="48"/>
      <c r="R41" s="48"/>
      <c r="S41" s="48"/>
      <c r="T41" s="48"/>
      <c r="U41" s="48"/>
      <c r="V41" s="48"/>
      <c r="W41" s="48"/>
      <c r="X41" s="48"/>
      <c r="Y41" s="48"/>
      <c r="Z41" s="48"/>
      <c r="AA41" s="48"/>
      <c r="AB41" s="48"/>
      <c r="AC41" s="48"/>
      <c r="AD41" s="48"/>
      <c r="AE41" s="48"/>
      <c r="AF41" s="48"/>
    </row>
    <row r="42" spans="1:32" ht="13.5" thickBot="1" x14ac:dyDescent="0.25">
      <c r="A42" s="61" t="s">
        <v>157</v>
      </c>
      <c r="B42" s="61" t="s">
        <v>146</v>
      </c>
      <c r="C42" s="244">
        <v>10</v>
      </c>
      <c r="D42" s="244">
        <v>20</v>
      </c>
      <c r="E42" s="244">
        <v>30</v>
      </c>
      <c r="F42" s="61" t="s">
        <v>256</v>
      </c>
      <c r="G42" s="64" t="s">
        <v>125</v>
      </c>
      <c r="H42" s="142">
        <f>C42*'13. Pro-forma Costs'!$I$38</f>
        <v>3.1204111616161616</v>
      </c>
      <c r="I42" s="142">
        <f>D42*'13. Pro-forma Costs'!$I$38</f>
        <v>6.2408223232323232</v>
      </c>
      <c r="J42" s="142">
        <f>E42*'13. Pro-forma Costs'!$I$38</f>
        <v>9.3612334848484853</v>
      </c>
      <c r="K42" s="48"/>
      <c r="M42" s="48"/>
      <c r="N42" s="48"/>
      <c r="O42" s="48"/>
      <c r="P42" s="48"/>
      <c r="Q42" s="48"/>
      <c r="R42" s="48"/>
      <c r="S42" s="48"/>
      <c r="T42" s="48"/>
      <c r="U42" s="48"/>
      <c r="V42" s="48"/>
      <c r="W42" s="48"/>
      <c r="X42" s="48"/>
      <c r="Y42" s="48"/>
      <c r="Z42" s="48"/>
      <c r="AA42" s="48"/>
      <c r="AB42" s="48"/>
      <c r="AC42" s="48"/>
      <c r="AD42" s="48"/>
      <c r="AE42" s="48"/>
      <c r="AF42" s="48"/>
    </row>
    <row r="43" spans="1:32" s="208" customFormat="1" ht="13.5" thickTop="1" x14ac:dyDescent="0.2">
      <c r="A43" s="202" t="s">
        <v>305</v>
      </c>
      <c r="B43" s="206">
        <f>COUNTA(B39:B42)</f>
        <v>4</v>
      </c>
      <c r="C43" s="206"/>
      <c r="D43" s="206"/>
      <c r="E43" s="206"/>
      <c r="F43" s="204"/>
      <c r="G43" s="206"/>
      <c r="H43" s="207">
        <f>SUM(H39:H42)</f>
        <v>15.602055808080808</v>
      </c>
      <c r="I43" s="207">
        <f t="shared" ref="I43:J43" si="3">SUM(I39:I42)</f>
        <v>28.083700454545454</v>
      </c>
      <c r="J43" s="207">
        <f t="shared" si="3"/>
        <v>40.565345101010102</v>
      </c>
      <c r="K43" s="202"/>
      <c r="M43" s="202"/>
      <c r="N43" s="202"/>
      <c r="O43" s="202"/>
      <c r="P43" s="202"/>
      <c r="Q43" s="202"/>
      <c r="R43" s="202"/>
      <c r="S43" s="202"/>
      <c r="T43" s="202"/>
      <c r="U43" s="202"/>
      <c r="V43" s="202"/>
      <c r="W43" s="202"/>
      <c r="X43" s="202"/>
      <c r="Y43" s="202"/>
      <c r="Z43" s="202"/>
      <c r="AA43" s="202"/>
      <c r="AB43" s="202"/>
      <c r="AC43" s="202"/>
      <c r="AD43" s="202"/>
      <c r="AE43" s="202"/>
      <c r="AF43" s="202"/>
    </row>
    <row r="44" spans="1:32" x14ac:dyDescent="0.2">
      <c r="A44" s="48"/>
      <c r="B44" s="48"/>
      <c r="C44" s="49"/>
      <c r="D44" s="49"/>
      <c r="E44" s="49"/>
      <c r="F44" s="51"/>
      <c r="G44" s="49"/>
      <c r="H44" s="141"/>
      <c r="I44" s="141"/>
      <c r="J44" s="141"/>
      <c r="K44" s="48"/>
      <c r="M44" s="48"/>
      <c r="N44" s="48"/>
      <c r="O44" s="48"/>
      <c r="P44" s="48"/>
      <c r="Q44" s="48"/>
      <c r="R44" s="48"/>
      <c r="S44" s="48"/>
      <c r="T44" s="48"/>
      <c r="U44" s="48"/>
      <c r="V44" s="48"/>
      <c r="W44" s="48"/>
      <c r="X44" s="48"/>
      <c r="Y44" s="48"/>
      <c r="Z44" s="48"/>
      <c r="AA44" s="48"/>
      <c r="AB44" s="48"/>
      <c r="AC44" s="48"/>
      <c r="AD44" s="48"/>
      <c r="AE44" s="48"/>
      <c r="AF44" s="48"/>
    </row>
    <row r="45" spans="1:32" s="51" customFormat="1" x14ac:dyDescent="0.2">
      <c r="A45" s="67" t="s">
        <v>163</v>
      </c>
      <c r="B45" s="67" t="s">
        <v>93</v>
      </c>
      <c r="C45" s="237">
        <v>60</v>
      </c>
      <c r="D45" s="249">
        <v>75</v>
      </c>
      <c r="E45" s="237">
        <v>90</v>
      </c>
      <c r="F45" s="67" t="s">
        <v>129</v>
      </c>
      <c r="G45" s="68" t="s">
        <v>125</v>
      </c>
      <c r="H45" s="140">
        <f>C45*'13. Pro-forma Costs'!$I$38</f>
        <v>18.722466969696971</v>
      </c>
      <c r="I45" s="140">
        <f>D45*'13. Pro-forma Costs'!$I$38</f>
        <v>23.403083712121212</v>
      </c>
      <c r="J45" s="140">
        <f>E45*'13. Pro-forma Costs'!$I$38</f>
        <v>28.083700454545454</v>
      </c>
      <c r="K45" s="48"/>
      <c r="L45" s="46"/>
      <c r="M45" s="48"/>
      <c r="N45" s="48"/>
      <c r="O45" s="48"/>
      <c r="P45" s="48"/>
      <c r="Q45" s="48"/>
      <c r="R45" s="48"/>
      <c r="S45" s="48"/>
      <c r="T45" s="48"/>
      <c r="U45" s="48"/>
      <c r="V45" s="48"/>
      <c r="W45" s="48"/>
      <c r="X45" s="48"/>
      <c r="Y45" s="48"/>
      <c r="Z45" s="48"/>
      <c r="AA45" s="48"/>
      <c r="AB45" s="48"/>
      <c r="AC45" s="48"/>
      <c r="AD45" s="48"/>
      <c r="AE45" s="48"/>
      <c r="AF45" s="48"/>
    </row>
    <row r="46" spans="1:32" s="51" customFormat="1" x14ac:dyDescent="0.2">
      <c r="A46" s="51" t="s">
        <v>163</v>
      </c>
      <c r="B46" s="51" t="s">
        <v>304</v>
      </c>
      <c r="C46" s="250">
        <v>30</v>
      </c>
      <c r="D46" s="251">
        <v>45</v>
      </c>
      <c r="E46" s="250">
        <v>60</v>
      </c>
      <c r="F46" s="51" t="s">
        <v>129</v>
      </c>
      <c r="G46" s="49" t="s">
        <v>125</v>
      </c>
      <c r="H46" s="141">
        <f>C46*'13. Pro-forma Costs'!$I$38</f>
        <v>9.3612334848484853</v>
      </c>
      <c r="I46" s="141">
        <f>D46*'13. Pro-forma Costs'!$I$38</f>
        <v>14.041850227272727</v>
      </c>
      <c r="J46" s="141">
        <f>E46*'13. Pro-forma Costs'!$I$38</f>
        <v>18.722466969696971</v>
      </c>
      <c r="K46" s="48"/>
      <c r="L46" s="46"/>
      <c r="M46" s="48"/>
      <c r="N46" s="48"/>
      <c r="O46" s="48"/>
      <c r="P46" s="48"/>
      <c r="Q46" s="48"/>
      <c r="R46" s="48"/>
      <c r="S46" s="48"/>
      <c r="T46" s="48"/>
      <c r="U46" s="48"/>
      <c r="V46" s="48"/>
      <c r="W46" s="48"/>
      <c r="X46" s="48"/>
      <c r="Y46" s="48"/>
      <c r="Z46" s="48"/>
      <c r="AA46" s="48"/>
      <c r="AB46" s="48"/>
      <c r="AC46" s="48"/>
      <c r="AD46" s="48"/>
      <c r="AE46" s="48"/>
      <c r="AF46" s="48"/>
    </row>
    <row r="47" spans="1:32" x14ac:dyDescent="0.2">
      <c r="A47" s="51" t="s">
        <v>163</v>
      </c>
      <c r="B47" s="51" t="s">
        <v>161</v>
      </c>
      <c r="C47" s="250">
        <v>15</v>
      </c>
      <c r="D47" s="251">
        <v>20</v>
      </c>
      <c r="E47" s="250">
        <v>30</v>
      </c>
      <c r="F47" s="51" t="s">
        <v>129</v>
      </c>
      <c r="G47" s="49" t="s">
        <v>125</v>
      </c>
      <c r="H47" s="141">
        <f>C47*'13. Pro-forma Costs'!$I$38</f>
        <v>4.6806167424242426</v>
      </c>
      <c r="I47" s="141">
        <f>D47*'13. Pro-forma Costs'!$I$38</f>
        <v>6.2408223232323232</v>
      </c>
      <c r="J47" s="141">
        <f>E47*'13. Pro-forma Costs'!$I$38</f>
        <v>9.3612334848484853</v>
      </c>
      <c r="K47" s="48"/>
      <c r="M47" s="48"/>
      <c r="N47" s="48"/>
      <c r="O47" s="48"/>
      <c r="P47" s="48"/>
      <c r="Q47" s="48"/>
      <c r="R47" s="48"/>
      <c r="S47" s="48"/>
      <c r="T47" s="48"/>
      <c r="U47" s="48"/>
      <c r="V47" s="48"/>
      <c r="W47" s="48"/>
      <c r="X47" s="48"/>
      <c r="Y47" s="48"/>
      <c r="Z47" s="48"/>
      <c r="AA47" s="48"/>
      <c r="AB47" s="48"/>
      <c r="AC47" s="48"/>
      <c r="AD47" s="48"/>
      <c r="AE47" s="48"/>
      <c r="AF47" s="48"/>
    </row>
    <row r="48" spans="1:32" s="51" customFormat="1" ht="13.5" thickBot="1" x14ac:dyDescent="0.25">
      <c r="A48" s="61" t="s">
        <v>163</v>
      </c>
      <c r="B48" s="61" t="s">
        <v>202</v>
      </c>
      <c r="C48" s="247">
        <v>15</v>
      </c>
      <c r="D48" s="247">
        <v>20</v>
      </c>
      <c r="E48" s="247">
        <v>30</v>
      </c>
      <c r="F48" s="61" t="s">
        <v>129</v>
      </c>
      <c r="G48" s="62" t="s">
        <v>125</v>
      </c>
      <c r="H48" s="142">
        <f>C48*'13. Pro-forma Costs'!$I$38</f>
        <v>4.6806167424242426</v>
      </c>
      <c r="I48" s="142">
        <f>D48*'13. Pro-forma Costs'!$I$38</f>
        <v>6.2408223232323232</v>
      </c>
      <c r="J48" s="142">
        <f>E48*'13. Pro-forma Costs'!$I$38</f>
        <v>9.3612334848484853</v>
      </c>
      <c r="K48" s="48"/>
      <c r="L48" s="46"/>
      <c r="M48" s="48"/>
      <c r="N48" s="48"/>
      <c r="O48" s="48"/>
      <c r="P48" s="48"/>
      <c r="Q48" s="48"/>
      <c r="R48" s="48"/>
      <c r="S48" s="48"/>
      <c r="T48" s="48"/>
      <c r="U48" s="48"/>
      <c r="V48" s="48"/>
      <c r="W48" s="48"/>
      <c r="X48" s="48"/>
      <c r="Y48" s="48"/>
      <c r="Z48" s="48"/>
      <c r="AA48" s="48"/>
      <c r="AB48" s="48"/>
      <c r="AC48" s="48"/>
      <c r="AD48" s="48"/>
      <c r="AE48" s="48"/>
      <c r="AF48" s="48"/>
    </row>
    <row r="49" spans="1:32" s="204" customFormat="1" ht="13.5" thickTop="1" x14ac:dyDescent="0.2">
      <c r="A49" s="204" t="s">
        <v>305</v>
      </c>
      <c r="B49" s="205">
        <f>COUNTA(B45:B48)</f>
        <v>4</v>
      </c>
      <c r="C49" s="205"/>
      <c r="D49" s="205"/>
      <c r="E49" s="205"/>
      <c r="G49" s="206"/>
      <c r="H49" s="207">
        <f>SUM(H45:H48)</f>
        <v>37.444933939393941</v>
      </c>
      <c r="I49" s="207">
        <f t="shared" ref="I49:J49" si="4">SUM(I45:I48)</f>
        <v>49.926578585858586</v>
      </c>
      <c r="J49" s="207">
        <f t="shared" si="4"/>
        <v>65.528634393939399</v>
      </c>
      <c r="K49" s="202"/>
      <c r="L49" s="208"/>
      <c r="M49" s="202"/>
      <c r="N49" s="202"/>
      <c r="O49" s="202"/>
      <c r="P49" s="202"/>
      <c r="Q49" s="202"/>
      <c r="R49" s="202"/>
      <c r="S49" s="202"/>
      <c r="T49" s="202"/>
      <c r="U49" s="202"/>
      <c r="V49" s="202"/>
      <c r="W49" s="202"/>
      <c r="X49" s="202"/>
      <c r="Y49" s="202"/>
      <c r="Z49" s="202"/>
      <c r="AA49" s="202"/>
      <c r="AB49" s="202"/>
      <c r="AC49" s="202"/>
      <c r="AD49" s="202"/>
      <c r="AE49" s="202"/>
      <c r="AF49" s="202"/>
    </row>
    <row r="50" spans="1:32" s="51" customFormat="1" x14ac:dyDescent="0.2">
      <c r="C50" s="58"/>
      <c r="D50" s="58"/>
      <c r="E50" s="58"/>
      <c r="G50" s="49"/>
      <c r="H50" s="141"/>
      <c r="I50" s="141"/>
      <c r="J50" s="141"/>
      <c r="K50" s="48"/>
      <c r="L50" s="46"/>
      <c r="M50" s="48"/>
      <c r="N50" s="48"/>
      <c r="O50" s="48"/>
      <c r="P50" s="48"/>
      <c r="Q50" s="48"/>
      <c r="R50" s="48"/>
      <c r="S50" s="48"/>
      <c r="T50" s="48"/>
      <c r="U50" s="48"/>
      <c r="V50" s="48"/>
      <c r="W50" s="48"/>
      <c r="X50" s="48"/>
      <c r="Y50" s="48"/>
      <c r="Z50" s="48"/>
      <c r="AA50" s="48"/>
      <c r="AB50" s="48"/>
      <c r="AC50" s="48"/>
      <c r="AD50" s="48"/>
      <c r="AE50" s="48"/>
      <c r="AF50" s="48"/>
    </row>
    <row r="51" spans="1:32" s="51" customFormat="1" x14ac:dyDescent="0.2">
      <c r="A51" s="67" t="s">
        <v>204</v>
      </c>
      <c r="B51" s="67" t="s">
        <v>207</v>
      </c>
      <c r="C51" s="237">
        <v>10</v>
      </c>
      <c r="D51" s="237">
        <v>15</v>
      </c>
      <c r="E51" s="237">
        <v>20</v>
      </c>
      <c r="F51" s="67" t="s">
        <v>129</v>
      </c>
      <c r="G51" s="68" t="s">
        <v>125</v>
      </c>
      <c r="H51" s="140">
        <f>C51*'13. Pro-forma Costs'!$I$38</f>
        <v>3.1204111616161616</v>
      </c>
      <c r="I51" s="140">
        <f>D51*'13. Pro-forma Costs'!$I$38</f>
        <v>4.6806167424242426</v>
      </c>
      <c r="J51" s="140">
        <f>E51*'13. Pro-forma Costs'!$I$38</f>
        <v>6.2408223232323232</v>
      </c>
      <c r="K51" s="48"/>
      <c r="L51" s="46"/>
      <c r="M51" s="48"/>
      <c r="N51" s="48"/>
      <c r="O51" s="48"/>
      <c r="P51" s="48"/>
      <c r="Q51" s="48"/>
      <c r="R51" s="48"/>
      <c r="S51" s="48"/>
      <c r="T51" s="48"/>
      <c r="U51" s="48"/>
      <c r="V51" s="48"/>
      <c r="W51" s="48"/>
      <c r="X51" s="48"/>
      <c r="Y51" s="48"/>
      <c r="Z51" s="48"/>
      <c r="AA51" s="48"/>
      <c r="AB51" s="48"/>
      <c r="AC51" s="48"/>
      <c r="AD51" s="48"/>
      <c r="AE51" s="48"/>
      <c r="AF51" s="48"/>
    </row>
    <row r="52" spans="1:32" s="51" customFormat="1" ht="13.5" thickBot="1" x14ac:dyDescent="0.25">
      <c r="A52" s="61" t="s">
        <v>204</v>
      </c>
      <c r="B52" s="61" t="s">
        <v>203</v>
      </c>
      <c r="C52" s="247">
        <v>10</v>
      </c>
      <c r="D52" s="247">
        <v>15</v>
      </c>
      <c r="E52" s="247">
        <v>20</v>
      </c>
      <c r="F52" s="61" t="s">
        <v>129</v>
      </c>
      <c r="G52" s="62" t="s">
        <v>125</v>
      </c>
      <c r="H52" s="142">
        <f>C52*'13. Pro-forma Costs'!$I$38</f>
        <v>3.1204111616161616</v>
      </c>
      <c r="I52" s="142">
        <f>D52*'13. Pro-forma Costs'!$I$38</f>
        <v>4.6806167424242426</v>
      </c>
      <c r="J52" s="142">
        <f>E52*'13. Pro-forma Costs'!$I$38</f>
        <v>6.2408223232323232</v>
      </c>
      <c r="K52" s="48"/>
      <c r="L52" s="46"/>
      <c r="M52" s="48"/>
      <c r="N52" s="48"/>
      <c r="O52" s="48"/>
      <c r="P52" s="48"/>
      <c r="Q52" s="48"/>
      <c r="R52" s="48"/>
      <c r="S52" s="48"/>
      <c r="T52" s="48"/>
      <c r="U52" s="48"/>
      <c r="V52" s="48"/>
      <c r="W52" s="48"/>
      <c r="X52" s="48"/>
      <c r="Y52" s="48"/>
      <c r="Z52" s="48"/>
      <c r="AA52" s="48"/>
      <c r="AB52" s="48"/>
      <c r="AC52" s="48"/>
      <c r="AD52" s="48"/>
      <c r="AE52" s="48"/>
      <c r="AF52" s="48"/>
    </row>
    <row r="53" spans="1:32" s="206" customFormat="1" ht="13.5" thickTop="1" x14ac:dyDescent="0.2">
      <c r="A53" s="209" t="s">
        <v>305</v>
      </c>
      <c r="B53" s="206">
        <f>COUNTA(B51:B52)</f>
        <v>2</v>
      </c>
      <c r="H53" s="207">
        <f>SUM(H51:H52)</f>
        <v>6.2408223232323232</v>
      </c>
      <c r="I53" s="207">
        <f t="shared" ref="I53:J53" si="5">SUM(I51:I52)</f>
        <v>9.3612334848484853</v>
      </c>
      <c r="J53" s="207">
        <f t="shared" si="5"/>
        <v>12.481644646464646</v>
      </c>
    </row>
    <row r="57" spans="1:32" x14ac:dyDescent="0.2">
      <c r="A57" s="51"/>
    </row>
  </sheetData>
  <mergeCells count="1">
    <mergeCell ref="C1:E1"/>
  </mergeCells>
  <pageMargins left="0.7" right="0.7" top="0.75" bottom="0.75" header="0.3" footer="0.3"/>
  <pageSetup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J84"/>
  <sheetViews>
    <sheetView zoomScale="90" zoomScaleNormal="90" workbookViewId="0">
      <selection sqref="A1:B1"/>
    </sheetView>
  </sheetViews>
  <sheetFormatPr defaultColWidth="9.140625" defaultRowHeight="12.75" x14ac:dyDescent="0.2"/>
  <cols>
    <col min="1" max="1" width="32.5703125" style="51" customWidth="1"/>
    <col min="2" max="2" width="31.28515625" style="51" customWidth="1"/>
    <col min="3" max="3" width="8.85546875" style="51" customWidth="1"/>
    <col min="4" max="4" width="9.5703125" style="51" customWidth="1"/>
    <col min="5" max="5" width="7.85546875" style="51" customWidth="1"/>
    <col min="6" max="6" width="32.42578125" style="51" customWidth="1"/>
    <col min="7" max="7" width="18.140625" style="49" customWidth="1"/>
    <col min="8" max="10" width="9.140625" style="60"/>
    <col min="11" max="16384" width="9.140625" style="51"/>
  </cols>
  <sheetData>
    <row r="1" spans="1:10" ht="15" x14ac:dyDescent="0.25">
      <c r="A1" s="400" t="s">
        <v>238</v>
      </c>
      <c r="B1" s="401"/>
      <c r="C1" s="393" t="s">
        <v>342</v>
      </c>
      <c r="D1" s="399"/>
      <c r="E1" s="399"/>
      <c r="F1" s="54"/>
      <c r="G1" s="56"/>
      <c r="H1" s="56"/>
      <c r="I1" s="56" t="s">
        <v>299</v>
      </c>
      <c r="J1" s="56"/>
    </row>
    <row r="2" spans="1:10" x14ac:dyDescent="0.2">
      <c r="A2" s="53" t="s">
        <v>62</v>
      </c>
      <c r="B2" s="53" t="s">
        <v>160</v>
      </c>
      <c r="C2" s="55" t="s">
        <v>169</v>
      </c>
      <c r="D2" s="56" t="s">
        <v>170</v>
      </c>
      <c r="E2" s="56" t="s">
        <v>171</v>
      </c>
      <c r="F2" s="53" t="s">
        <v>61</v>
      </c>
      <c r="G2" s="56" t="s">
        <v>0</v>
      </c>
      <c r="H2" s="56" t="s">
        <v>169</v>
      </c>
      <c r="I2" s="56" t="s">
        <v>170</v>
      </c>
      <c r="J2" s="56" t="s">
        <v>171</v>
      </c>
    </row>
    <row r="3" spans="1:10" ht="14.25" customHeight="1" thickBot="1" x14ac:dyDescent="0.25">
      <c r="A3" s="176" t="s">
        <v>64</v>
      </c>
      <c r="B3" s="176" t="s">
        <v>172</v>
      </c>
      <c r="C3" s="253">
        <v>15</v>
      </c>
      <c r="D3" s="254">
        <v>30</v>
      </c>
      <c r="E3" s="253">
        <v>60</v>
      </c>
      <c r="F3" s="176" t="s">
        <v>63</v>
      </c>
      <c r="G3" s="77" t="s">
        <v>131</v>
      </c>
      <c r="H3" s="149">
        <f>C3*'13. Pro-forma Costs'!$I$42</f>
        <v>3.7145000000000001</v>
      </c>
      <c r="I3" s="149">
        <f>D3*'13. Pro-forma Costs'!$I$42</f>
        <v>7.4290000000000003</v>
      </c>
      <c r="J3" s="149">
        <f>E3*'13. Pro-forma Costs'!$I$42</f>
        <v>14.858000000000001</v>
      </c>
    </row>
    <row r="4" spans="1:10" s="204" customFormat="1" ht="14.25" customHeight="1" thickTop="1" x14ac:dyDescent="0.2">
      <c r="A4" s="204" t="s">
        <v>305</v>
      </c>
      <c r="B4" s="205">
        <f>COUNTA(B3)</f>
        <v>1</v>
      </c>
      <c r="C4" s="206"/>
      <c r="D4" s="206"/>
      <c r="E4" s="206"/>
      <c r="G4" s="206"/>
      <c r="H4" s="207">
        <f>SUM(H3)</f>
        <v>3.7145000000000001</v>
      </c>
      <c r="I4" s="207">
        <f t="shared" ref="I4:J4" si="0">SUM(I3)</f>
        <v>7.4290000000000003</v>
      </c>
      <c r="J4" s="207">
        <f t="shared" si="0"/>
        <v>14.858000000000001</v>
      </c>
    </row>
    <row r="5" spans="1:10" ht="14.25" customHeight="1" x14ac:dyDescent="0.2">
      <c r="C5" s="49"/>
      <c r="D5" s="50"/>
      <c r="E5" s="49"/>
      <c r="G5" s="65"/>
      <c r="H5" s="144"/>
      <c r="I5" s="144"/>
      <c r="J5" s="144"/>
    </row>
    <row r="6" spans="1:10" ht="14.25" customHeight="1" x14ac:dyDescent="0.2">
      <c r="A6" s="67" t="s">
        <v>231</v>
      </c>
      <c r="B6" s="67" t="s">
        <v>232</v>
      </c>
      <c r="C6" s="242">
        <v>5</v>
      </c>
      <c r="D6" s="245">
        <v>10</v>
      </c>
      <c r="E6" s="242">
        <v>15</v>
      </c>
      <c r="F6" s="67" t="s">
        <v>214</v>
      </c>
      <c r="G6" s="68" t="s">
        <v>107</v>
      </c>
      <c r="H6" s="177">
        <f>C6*'13. Pro-forma Costs'!$I$6</f>
        <v>10.01952053030303</v>
      </c>
      <c r="I6" s="177">
        <f>D6*'13. Pro-forma Costs'!$I$6</f>
        <v>20.03904106060606</v>
      </c>
      <c r="J6" s="177">
        <f>E6*'13. Pro-forma Costs'!$I$6</f>
        <v>30.05856159090909</v>
      </c>
    </row>
    <row r="7" spans="1:10" ht="14.25" customHeight="1" x14ac:dyDescent="0.2">
      <c r="A7" s="51" t="s">
        <v>231</v>
      </c>
      <c r="B7" s="51" t="s">
        <v>233</v>
      </c>
      <c r="C7" s="243">
        <v>5</v>
      </c>
      <c r="D7" s="246">
        <v>10</v>
      </c>
      <c r="E7" s="243">
        <v>15</v>
      </c>
      <c r="F7" s="51" t="s">
        <v>63</v>
      </c>
      <c r="G7" s="49" t="s">
        <v>131</v>
      </c>
      <c r="H7" s="141">
        <f>C7*'13. Pro-forma Costs'!$I$42</f>
        <v>1.2381666666666666</v>
      </c>
      <c r="I7" s="141">
        <f>D7*'13. Pro-forma Costs'!$I$42</f>
        <v>2.4763333333333333</v>
      </c>
      <c r="J7" s="141">
        <f>E7*'13. Pro-forma Costs'!$I$42</f>
        <v>3.7145000000000001</v>
      </c>
    </row>
    <row r="8" spans="1:10" ht="14.25" customHeight="1" thickBot="1" x14ac:dyDescent="0.25">
      <c r="A8" s="61" t="s">
        <v>231</v>
      </c>
      <c r="B8" s="61" t="s">
        <v>234</v>
      </c>
      <c r="C8" s="244">
        <v>5</v>
      </c>
      <c r="D8" s="248">
        <v>10</v>
      </c>
      <c r="E8" s="244">
        <v>15</v>
      </c>
      <c r="F8" s="61" t="s">
        <v>63</v>
      </c>
      <c r="G8" s="62" t="s">
        <v>131</v>
      </c>
      <c r="H8" s="142">
        <f>C8*'13. Pro-forma Costs'!$I$42</f>
        <v>1.2381666666666666</v>
      </c>
      <c r="I8" s="142">
        <f>D8*'13. Pro-forma Costs'!$I$42</f>
        <v>2.4763333333333333</v>
      </c>
      <c r="J8" s="142">
        <f>E8*'13. Pro-forma Costs'!$I$42</f>
        <v>3.7145000000000001</v>
      </c>
    </row>
    <row r="9" spans="1:10" s="204" customFormat="1" ht="14.25" customHeight="1" thickTop="1" x14ac:dyDescent="0.2">
      <c r="A9" s="204" t="s">
        <v>305</v>
      </c>
      <c r="B9" s="205">
        <f>COUNTA(B6:B8)</f>
        <v>3</v>
      </c>
      <c r="C9" s="206"/>
      <c r="D9" s="206"/>
      <c r="E9" s="206"/>
      <c r="G9" s="206"/>
      <c r="H9" s="207">
        <f>SUM(H6:H8)</f>
        <v>12.495853863636363</v>
      </c>
      <c r="I9" s="207">
        <f t="shared" ref="I9:J9" si="1">SUM(I6:I8)</f>
        <v>24.991707727272725</v>
      </c>
      <c r="J9" s="207">
        <f t="shared" si="1"/>
        <v>37.487561590909088</v>
      </c>
    </row>
    <row r="10" spans="1:10" ht="14.25" customHeight="1" x14ac:dyDescent="0.2">
      <c r="C10" s="49"/>
      <c r="D10" s="50"/>
      <c r="E10" s="49"/>
      <c r="H10" s="141"/>
      <c r="I10" s="141"/>
      <c r="J10" s="141"/>
    </row>
    <row r="11" spans="1:10" ht="14.25" customHeight="1" x14ac:dyDescent="0.2">
      <c r="A11" s="67" t="s">
        <v>225</v>
      </c>
      <c r="B11" s="67" t="s">
        <v>227</v>
      </c>
      <c r="C11" s="242">
        <v>15</v>
      </c>
      <c r="D11" s="245">
        <v>30</v>
      </c>
      <c r="E11" s="242">
        <v>45</v>
      </c>
      <c r="F11" s="67" t="s">
        <v>63</v>
      </c>
      <c r="G11" s="68" t="s">
        <v>131</v>
      </c>
      <c r="H11" s="140">
        <f>C11*'13. Pro-forma Costs'!$I$42</f>
        <v>3.7145000000000001</v>
      </c>
      <c r="I11" s="140">
        <f>D11*'13. Pro-forma Costs'!$I$42</f>
        <v>7.4290000000000003</v>
      </c>
      <c r="J11" s="140">
        <f>E11*'13. Pro-forma Costs'!$I$42</f>
        <v>11.143500000000001</v>
      </c>
    </row>
    <row r="12" spans="1:10" ht="14.25" customHeight="1" x14ac:dyDescent="0.2">
      <c r="A12" s="51" t="s">
        <v>225</v>
      </c>
      <c r="B12" s="51" t="s">
        <v>226</v>
      </c>
      <c r="C12" s="243">
        <v>30</v>
      </c>
      <c r="D12" s="246">
        <v>45</v>
      </c>
      <c r="E12" s="243">
        <v>60</v>
      </c>
      <c r="F12" s="51" t="s">
        <v>63</v>
      </c>
      <c r="G12" s="49" t="s">
        <v>131</v>
      </c>
      <c r="H12" s="141">
        <f>C12*'13. Pro-forma Costs'!$I$42</f>
        <v>7.4290000000000003</v>
      </c>
      <c r="I12" s="141">
        <f>D12*'13. Pro-forma Costs'!$I$42</f>
        <v>11.143500000000001</v>
      </c>
      <c r="J12" s="141">
        <f>E12*'13. Pro-forma Costs'!$I$42</f>
        <v>14.858000000000001</v>
      </c>
    </row>
    <row r="13" spans="1:10" ht="14.25" customHeight="1" x14ac:dyDescent="0.2">
      <c r="A13" s="51" t="s">
        <v>225</v>
      </c>
      <c r="B13" s="51" t="s">
        <v>228</v>
      </c>
      <c r="C13" s="243">
        <v>20</v>
      </c>
      <c r="D13" s="246">
        <v>30</v>
      </c>
      <c r="E13" s="243">
        <v>40</v>
      </c>
      <c r="F13" s="51" t="s">
        <v>63</v>
      </c>
      <c r="G13" s="49" t="s">
        <v>131</v>
      </c>
      <c r="H13" s="141">
        <f>C13*'13. Pro-forma Costs'!$I$42</f>
        <v>4.9526666666666666</v>
      </c>
      <c r="I13" s="141">
        <f>D13*'13. Pro-forma Costs'!$I$42</f>
        <v>7.4290000000000003</v>
      </c>
      <c r="J13" s="141">
        <f>E13*'13. Pro-forma Costs'!$I$42</f>
        <v>9.9053333333333331</v>
      </c>
    </row>
    <row r="14" spans="1:10" ht="14.25" customHeight="1" x14ac:dyDescent="0.2">
      <c r="A14" s="51" t="s">
        <v>225</v>
      </c>
      <c r="B14" s="51" t="s">
        <v>229</v>
      </c>
      <c r="C14" s="243">
        <v>5</v>
      </c>
      <c r="D14" s="246">
        <v>10</v>
      </c>
      <c r="E14" s="243">
        <v>15</v>
      </c>
      <c r="F14" s="51" t="s">
        <v>63</v>
      </c>
      <c r="G14" s="49" t="s">
        <v>131</v>
      </c>
      <c r="H14" s="141">
        <f>C14*'13. Pro-forma Costs'!$I$42</f>
        <v>1.2381666666666666</v>
      </c>
      <c r="I14" s="141">
        <f>D14*'13. Pro-forma Costs'!$I$42</f>
        <v>2.4763333333333333</v>
      </c>
      <c r="J14" s="141">
        <f>E14*'13. Pro-forma Costs'!$I$42</f>
        <v>3.7145000000000001</v>
      </c>
    </row>
    <row r="15" spans="1:10" ht="14.25" customHeight="1" x14ac:dyDescent="0.2">
      <c r="A15" s="51" t="s">
        <v>225</v>
      </c>
      <c r="B15" s="51" t="s">
        <v>230</v>
      </c>
      <c r="C15" s="243">
        <v>5</v>
      </c>
      <c r="D15" s="246">
        <v>10</v>
      </c>
      <c r="E15" s="243">
        <v>15</v>
      </c>
      <c r="F15" s="51" t="s">
        <v>63</v>
      </c>
      <c r="G15" s="49" t="s">
        <v>131</v>
      </c>
      <c r="H15" s="141">
        <f>C15*'13. Pro-forma Costs'!$I$42</f>
        <v>1.2381666666666666</v>
      </c>
      <c r="I15" s="141">
        <f>D15*'13. Pro-forma Costs'!$I$42</f>
        <v>2.4763333333333333</v>
      </c>
      <c r="J15" s="141">
        <f>E15*'13. Pro-forma Costs'!$I$42</f>
        <v>3.7145000000000001</v>
      </c>
    </row>
    <row r="16" spans="1:10" x14ac:dyDescent="0.2">
      <c r="A16" s="51" t="s">
        <v>225</v>
      </c>
      <c r="B16" s="51" t="s">
        <v>212</v>
      </c>
      <c r="C16" s="243">
        <v>10</v>
      </c>
      <c r="D16" s="246">
        <v>20</v>
      </c>
      <c r="E16" s="243">
        <v>30</v>
      </c>
      <c r="F16" s="51" t="s">
        <v>214</v>
      </c>
      <c r="G16" s="49" t="s">
        <v>107</v>
      </c>
      <c r="H16" s="175">
        <f>C16*'13. Pro-forma Costs'!$I$6</f>
        <v>20.03904106060606</v>
      </c>
      <c r="I16" s="175">
        <f>D16*'13. Pro-forma Costs'!$I$6</f>
        <v>40.07808212121212</v>
      </c>
      <c r="J16" s="175">
        <f>E16*'13. Pro-forma Costs'!$I$6</f>
        <v>60.117123181818179</v>
      </c>
    </row>
    <row r="17" spans="1:10" ht="13.5" thickBot="1" x14ac:dyDescent="0.25">
      <c r="A17" s="61" t="s">
        <v>225</v>
      </c>
      <c r="B17" s="61" t="s">
        <v>213</v>
      </c>
      <c r="C17" s="244">
        <v>10</v>
      </c>
      <c r="D17" s="248">
        <v>15</v>
      </c>
      <c r="E17" s="244">
        <v>20</v>
      </c>
      <c r="F17" s="61" t="s">
        <v>77</v>
      </c>
      <c r="G17" s="62" t="s">
        <v>99</v>
      </c>
      <c r="H17" s="142">
        <f>C17*'13. Pro-forma Costs'!$I$2</f>
        <v>28.520427727272732</v>
      </c>
      <c r="I17" s="142">
        <f>D17*'13. Pro-forma Costs'!$I$2</f>
        <v>42.780641590909099</v>
      </c>
      <c r="J17" s="142">
        <f>E17*'13. Pro-forma Costs'!$I$2</f>
        <v>57.040855454545465</v>
      </c>
    </row>
    <row r="18" spans="1:10" s="204" customFormat="1" ht="13.5" thickTop="1" x14ac:dyDescent="0.2">
      <c r="A18" s="204" t="s">
        <v>305</v>
      </c>
      <c r="B18" s="205">
        <f>COUNTA(B11:B17)</f>
        <v>7</v>
      </c>
      <c r="C18" s="206"/>
      <c r="D18" s="206"/>
      <c r="E18" s="206"/>
      <c r="G18" s="206"/>
      <c r="H18" s="207">
        <f>SUM(H11:H17)</f>
        <v>67.13196878787879</v>
      </c>
      <c r="I18" s="207">
        <f>SUM(I11:I17)</f>
        <v>113.81289037878788</v>
      </c>
      <c r="J18" s="207">
        <f>SUM(J11:J17)</f>
        <v>160.49381196969699</v>
      </c>
    </row>
    <row r="19" spans="1:10" x14ac:dyDescent="0.2">
      <c r="C19" s="49"/>
      <c r="D19" s="50"/>
      <c r="E19" s="49"/>
      <c r="H19" s="141"/>
      <c r="I19" s="141"/>
      <c r="J19" s="141"/>
    </row>
    <row r="20" spans="1:10" x14ac:dyDescent="0.2">
      <c r="A20" s="67" t="s">
        <v>165</v>
      </c>
      <c r="B20" s="67" t="s">
        <v>84</v>
      </c>
      <c r="C20" s="242">
        <v>60</v>
      </c>
      <c r="D20" s="245">
        <v>120</v>
      </c>
      <c r="E20" s="242">
        <v>180</v>
      </c>
      <c r="F20" s="67" t="s">
        <v>63</v>
      </c>
      <c r="G20" s="68" t="s">
        <v>131</v>
      </c>
      <c r="H20" s="140">
        <f>C20*'13. Pro-forma Costs'!$I$42</f>
        <v>14.858000000000001</v>
      </c>
      <c r="I20" s="140">
        <f>D20*'13. Pro-forma Costs'!$I$42</f>
        <v>29.716000000000001</v>
      </c>
      <c r="J20" s="140">
        <f>E20*'13. Pro-forma Costs'!$I$42</f>
        <v>44.574000000000005</v>
      </c>
    </row>
    <row r="21" spans="1:10" x14ac:dyDescent="0.2">
      <c r="A21" s="51" t="s">
        <v>165</v>
      </c>
      <c r="B21" s="51" t="s">
        <v>181</v>
      </c>
      <c r="C21" s="243">
        <v>15</v>
      </c>
      <c r="D21" s="246">
        <v>30</v>
      </c>
      <c r="E21" s="243">
        <v>45</v>
      </c>
      <c r="F21" s="51" t="s">
        <v>63</v>
      </c>
      <c r="G21" s="49" t="s">
        <v>131</v>
      </c>
      <c r="H21" s="141">
        <f>C21*'13. Pro-forma Costs'!$I$42</f>
        <v>3.7145000000000001</v>
      </c>
      <c r="I21" s="141">
        <f>D21*'13. Pro-forma Costs'!$I$42</f>
        <v>7.4290000000000003</v>
      </c>
      <c r="J21" s="141">
        <f>E21*'13. Pro-forma Costs'!$I$42</f>
        <v>11.143500000000001</v>
      </c>
    </row>
    <row r="22" spans="1:10" x14ac:dyDescent="0.2">
      <c r="A22" s="51" t="s">
        <v>165</v>
      </c>
      <c r="B22" s="51" t="s">
        <v>180</v>
      </c>
      <c r="C22" s="243">
        <v>30</v>
      </c>
      <c r="D22" s="246">
        <v>60</v>
      </c>
      <c r="E22" s="243">
        <v>120</v>
      </c>
      <c r="F22" s="51" t="s">
        <v>63</v>
      </c>
      <c r="G22" s="49" t="s">
        <v>131</v>
      </c>
      <c r="H22" s="141">
        <f>C22*'13. Pro-forma Costs'!$I$42</f>
        <v>7.4290000000000003</v>
      </c>
      <c r="I22" s="141">
        <f>D22*'13. Pro-forma Costs'!$I$42</f>
        <v>14.858000000000001</v>
      </c>
      <c r="J22" s="141">
        <f>E22*'13. Pro-forma Costs'!$I$42</f>
        <v>29.716000000000001</v>
      </c>
    </row>
    <row r="23" spans="1:10" x14ac:dyDescent="0.2">
      <c r="A23" s="51" t="s">
        <v>165</v>
      </c>
      <c r="B23" s="51" t="s">
        <v>88</v>
      </c>
      <c r="C23" s="243">
        <v>5</v>
      </c>
      <c r="D23" s="246">
        <v>10</v>
      </c>
      <c r="E23" s="243">
        <v>15</v>
      </c>
      <c r="F23" s="51" t="s">
        <v>63</v>
      </c>
      <c r="G23" s="49" t="s">
        <v>131</v>
      </c>
      <c r="H23" s="141">
        <f>C23*'13. Pro-forma Costs'!$I$42</f>
        <v>1.2381666666666666</v>
      </c>
      <c r="I23" s="141">
        <f>D23*'13. Pro-forma Costs'!$I$42</f>
        <v>2.4763333333333333</v>
      </c>
      <c r="J23" s="141">
        <f>E23*'13. Pro-forma Costs'!$I$42</f>
        <v>3.7145000000000001</v>
      </c>
    </row>
    <row r="24" spans="1:10" x14ac:dyDescent="0.2">
      <c r="A24" s="51" t="s">
        <v>165</v>
      </c>
      <c r="B24" s="51" t="s">
        <v>173</v>
      </c>
      <c r="C24" s="243">
        <v>20</v>
      </c>
      <c r="D24" s="246">
        <v>30</v>
      </c>
      <c r="E24" s="243">
        <v>40</v>
      </c>
      <c r="F24" s="51" t="s">
        <v>65</v>
      </c>
      <c r="G24" s="49" t="s">
        <v>347</v>
      </c>
      <c r="H24" s="141">
        <f>C24*('13. Pro-forma Costs'!$I$6+'13. Pro-forma Costs'!$I$17+'13. Pro-forma Costs'!$I$21+'13. Pro-forma Costs'!$I$38+'13. Pro-forma Costs'!$I$42)</f>
        <v>68.677406565656568</v>
      </c>
      <c r="I24" s="141">
        <f>D24*('13. Pro-forma Costs'!$I$6+'13. Pro-forma Costs'!$I$17+'13. Pro-forma Costs'!$I$21+'13. Pro-forma Costs'!$I$38+'13. Pro-forma Costs'!$I$42)</f>
        <v>103.01610984848485</v>
      </c>
      <c r="J24" s="141">
        <f>E24*('13. Pro-forma Costs'!$I$6+'13. Pro-forma Costs'!$I$17+'13. Pro-forma Costs'!$I$21+'13. Pro-forma Costs'!$I$38+'13. Pro-forma Costs'!$I$42)</f>
        <v>137.35481313131314</v>
      </c>
    </row>
    <row r="25" spans="1:10" x14ac:dyDescent="0.2">
      <c r="A25" s="51" t="s">
        <v>165</v>
      </c>
      <c r="B25" s="51" t="s">
        <v>224</v>
      </c>
      <c r="C25" s="243">
        <v>90</v>
      </c>
      <c r="D25" s="246">
        <v>120</v>
      </c>
      <c r="E25" s="243">
        <v>150</v>
      </c>
      <c r="F25" s="51" t="s">
        <v>65</v>
      </c>
      <c r="G25" s="49" t="s">
        <v>347</v>
      </c>
      <c r="H25" s="141">
        <f>C25*('13. Pro-forma Costs'!$I$6+'13. Pro-forma Costs'!$I$17+'13. Pro-forma Costs'!$I$21+'13. Pro-forma Costs'!$I$38+'13. Pro-forma Costs'!$I$42)</f>
        <v>309.04832954545452</v>
      </c>
      <c r="I25" s="141">
        <f>D25*('13. Pro-forma Costs'!$I$6+'13. Pro-forma Costs'!$I$17+'13. Pro-forma Costs'!$I$21+'13. Pro-forma Costs'!$I$38+'13. Pro-forma Costs'!$I$42)</f>
        <v>412.06443939393938</v>
      </c>
      <c r="J25" s="141">
        <f>E25*('13. Pro-forma Costs'!$I$6+'13. Pro-forma Costs'!$I$17+'13. Pro-forma Costs'!$I$21+'13. Pro-forma Costs'!$I$38+'13. Pro-forma Costs'!$I$42)</f>
        <v>515.08054924242424</v>
      </c>
    </row>
    <row r="26" spans="1:10" x14ac:dyDescent="0.2">
      <c r="A26" s="51" t="s">
        <v>165</v>
      </c>
      <c r="B26" s="51" t="s">
        <v>209</v>
      </c>
      <c r="C26" s="243">
        <v>30</v>
      </c>
      <c r="D26" s="246">
        <v>45</v>
      </c>
      <c r="E26" s="243">
        <v>60</v>
      </c>
      <c r="F26" s="51" t="s">
        <v>63</v>
      </c>
      <c r="G26" s="49" t="s">
        <v>131</v>
      </c>
      <c r="H26" s="141">
        <f>C26*'13. Pro-forma Costs'!$I$42</f>
        <v>7.4290000000000003</v>
      </c>
      <c r="I26" s="141">
        <f>D26*'13. Pro-forma Costs'!$I$42</f>
        <v>11.143500000000001</v>
      </c>
      <c r="J26" s="141">
        <f>E26*'13. Pro-forma Costs'!$I$42</f>
        <v>14.858000000000001</v>
      </c>
    </row>
    <row r="27" spans="1:10" x14ac:dyDescent="0.2">
      <c r="A27" s="51" t="s">
        <v>165</v>
      </c>
      <c r="B27" s="51" t="s">
        <v>210</v>
      </c>
      <c r="C27" s="243">
        <v>15</v>
      </c>
      <c r="D27" s="246">
        <v>20</v>
      </c>
      <c r="E27" s="243">
        <v>25</v>
      </c>
      <c r="F27" s="51" t="s">
        <v>63</v>
      </c>
      <c r="G27" s="49" t="s">
        <v>131</v>
      </c>
      <c r="H27" s="141">
        <f>C27*'13. Pro-forma Costs'!$I$42</f>
        <v>3.7145000000000001</v>
      </c>
      <c r="I27" s="141">
        <f>D27*'13. Pro-forma Costs'!$I$42</f>
        <v>4.9526666666666666</v>
      </c>
      <c r="J27" s="141">
        <f>E27*'13. Pro-forma Costs'!$I$42</f>
        <v>6.1908333333333339</v>
      </c>
    </row>
    <row r="28" spans="1:10" x14ac:dyDescent="0.2">
      <c r="A28" s="51" t="s">
        <v>165</v>
      </c>
      <c r="B28" s="51" t="s">
        <v>211</v>
      </c>
      <c r="C28" s="243">
        <v>5</v>
      </c>
      <c r="D28" s="246">
        <v>10</v>
      </c>
      <c r="E28" s="243">
        <v>15</v>
      </c>
      <c r="F28" s="51" t="s">
        <v>63</v>
      </c>
      <c r="G28" s="49" t="s">
        <v>131</v>
      </c>
      <c r="H28" s="141">
        <f>C28*'13. Pro-forma Costs'!$I$42</f>
        <v>1.2381666666666666</v>
      </c>
      <c r="I28" s="141">
        <f>D28*'13. Pro-forma Costs'!$I$42</f>
        <v>2.4763333333333333</v>
      </c>
      <c r="J28" s="141">
        <f>E28*'13. Pro-forma Costs'!$I$42</f>
        <v>3.7145000000000001</v>
      </c>
    </row>
    <row r="29" spans="1:10" x14ac:dyDescent="0.2">
      <c r="A29" s="51" t="s">
        <v>165</v>
      </c>
      <c r="B29" s="51" t="s">
        <v>212</v>
      </c>
      <c r="C29" s="243">
        <v>5</v>
      </c>
      <c r="D29" s="246">
        <v>10</v>
      </c>
      <c r="E29" s="243">
        <v>15</v>
      </c>
      <c r="F29" s="51" t="s">
        <v>214</v>
      </c>
      <c r="G29" s="49" t="s">
        <v>107</v>
      </c>
      <c r="H29" s="175">
        <f>C29*'13. Pro-forma Costs'!$I$6</f>
        <v>10.01952053030303</v>
      </c>
      <c r="I29" s="175">
        <f>D29*'13. Pro-forma Costs'!$I$6</f>
        <v>20.03904106060606</v>
      </c>
      <c r="J29" s="175">
        <f>E29*'13. Pro-forma Costs'!$I$6</f>
        <v>30.05856159090909</v>
      </c>
    </row>
    <row r="30" spans="1:10" ht="13.5" thickBot="1" x14ac:dyDescent="0.25">
      <c r="A30" s="61" t="s">
        <v>165</v>
      </c>
      <c r="B30" s="61" t="s">
        <v>213</v>
      </c>
      <c r="C30" s="244">
        <v>5</v>
      </c>
      <c r="D30" s="248">
        <v>10</v>
      </c>
      <c r="E30" s="244">
        <v>15</v>
      </c>
      <c r="F30" s="61" t="s">
        <v>77</v>
      </c>
      <c r="G30" s="62" t="s">
        <v>99</v>
      </c>
      <c r="H30" s="142">
        <f>C30*'13. Pro-forma Costs'!$I$2</f>
        <v>14.260213863636366</v>
      </c>
      <c r="I30" s="142">
        <f>D30*'13. Pro-forma Costs'!$I$2</f>
        <v>28.520427727272732</v>
      </c>
      <c r="J30" s="142">
        <f>E30*'13. Pro-forma Costs'!$I$2</f>
        <v>42.780641590909099</v>
      </c>
    </row>
    <row r="31" spans="1:10" s="204" customFormat="1" ht="13.5" thickTop="1" x14ac:dyDescent="0.2">
      <c r="A31" s="204" t="s">
        <v>305</v>
      </c>
      <c r="B31" s="205">
        <f>COUNTA(B20:B30)</f>
        <v>11</v>
      </c>
      <c r="C31" s="206"/>
      <c r="D31" s="206"/>
      <c r="E31" s="206"/>
      <c r="G31" s="206"/>
      <c r="H31" s="207">
        <f>SUM(H20:H30)</f>
        <v>441.62680383838375</v>
      </c>
      <c r="I31" s="207">
        <f t="shared" ref="I31:J31" si="2">SUM(I20:I30)</f>
        <v>636.69185136363637</v>
      </c>
      <c r="J31" s="207">
        <f t="shared" si="2"/>
        <v>839.18589888888891</v>
      </c>
    </row>
    <row r="32" spans="1:10" x14ac:dyDescent="0.2">
      <c r="C32" s="49"/>
      <c r="D32" s="50"/>
      <c r="E32" s="49"/>
      <c r="H32" s="141"/>
      <c r="I32" s="141"/>
      <c r="J32" s="141"/>
    </row>
    <row r="33" spans="1:10" s="48" customFormat="1" x14ac:dyDescent="0.2">
      <c r="A33" s="71" t="s">
        <v>166</v>
      </c>
      <c r="B33" s="71" t="s">
        <v>85</v>
      </c>
      <c r="C33" s="242">
        <v>120</v>
      </c>
      <c r="D33" s="245">
        <v>180</v>
      </c>
      <c r="E33" s="242">
        <v>240</v>
      </c>
      <c r="F33" s="71" t="s">
        <v>63</v>
      </c>
      <c r="G33" s="68" t="s">
        <v>131</v>
      </c>
      <c r="H33" s="140">
        <f>C33*'13. Pro-forma Costs'!$I$42</f>
        <v>29.716000000000001</v>
      </c>
      <c r="I33" s="140">
        <f>D33*'13. Pro-forma Costs'!$I$42</f>
        <v>44.574000000000005</v>
      </c>
      <c r="J33" s="140">
        <f>E33*'13. Pro-forma Costs'!$I$42</f>
        <v>59.432000000000002</v>
      </c>
    </row>
    <row r="34" spans="1:10" s="48" customFormat="1" x14ac:dyDescent="0.2">
      <c r="A34" s="48" t="s">
        <v>166</v>
      </c>
      <c r="B34" s="48" t="s">
        <v>360</v>
      </c>
      <c r="C34" s="243">
        <v>30</v>
      </c>
      <c r="D34" s="246">
        <v>60</v>
      </c>
      <c r="E34" s="243">
        <v>90</v>
      </c>
      <c r="F34" s="48" t="s">
        <v>63</v>
      </c>
      <c r="G34" s="49" t="s">
        <v>131</v>
      </c>
      <c r="H34" s="141">
        <f>C34*'13. Pro-forma Costs'!$I$42</f>
        <v>7.4290000000000003</v>
      </c>
      <c r="I34" s="141">
        <f>D34*'13. Pro-forma Costs'!$I$42</f>
        <v>14.858000000000001</v>
      </c>
      <c r="J34" s="141">
        <f>E34*'13. Pro-forma Costs'!$I$42</f>
        <v>22.287000000000003</v>
      </c>
    </row>
    <row r="35" spans="1:10" x14ac:dyDescent="0.2">
      <c r="A35" s="51" t="s">
        <v>166</v>
      </c>
      <c r="B35" s="51" t="s">
        <v>89</v>
      </c>
      <c r="C35" s="243">
        <v>5</v>
      </c>
      <c r="D35" s="246">
        <v>10</v>
      </c>
      <c r="E35" s="243">
        <v>15</v>
      </c>
      <c r="F35" s="51" t="s">
        <v>63</v>
      </c>
      <c r="G35" s="49" t="s">
        <v>131</v>
      </c>
      <c r="H35" s="141">
        <f>C35*'13. Pro-forma Costs'!$I$42</f>
        <v>1.2381666666666666</v>
      </c>
      <c r="I35" s="141">
        <f>D35*'13. Pro-forma Costs'!$I$42</f>
        <v>2.4763333333333333</v>
      </c>
      <c r="J35" s="141">
        <f>E35*'13. Pro-forma Costs'!$I$42</f>
        <v>3.7145000000000001</v>
      </c>
    </row>
    <row r="36" spans="1:10" x14ac:dyDescent="0.2">
      <c r="A36" s="51" t="s">
        <v>166</v>
      </c>
      <c r="B36" s="51" t="s">
        <v>174</v>
      </c>
      <c r="C36" s="243">
        <v>15</v>
      </c>
      <c r="D36" s="246">
        <v>20</v>
      </c>
      <c r="E36" s="243">
        <v>30</v>
      </c>
      <c r="F36" s="51" t="s">
        <v>65</v>
      </c>
      <c r="G36" s="49" t="s">
        <v>347</v>
      </c>
      <c r="H36" s="141">
        <f>C36*('13. Pro-forma Costs'!$I$6+'13. Pro-forma Costs'!$I$17+'13. Pro-forma Costs'!$I$21+'13. Pro-forma Costs'!$I$38+'13. Pro-forma Costs'!$I$42)</f>
        <v>51.508054924242423</v>
      </c>
      <c r="I36" s="141">
        <f>D36*('13. Pro-forma Costs'!$I$6+'13. Pro-forma Costs'!$I$17+'13. Pro-forma Costs'!$I$21+'13. Pro-forma Costs'!$I$38+'13. Pro-forma Costs'!$I$42)</f>
        <v>68.677406565656568</v>
      </c>
      <c r="J36" s="141">
        <f>E36*('13. Pro-forma Costs'!$I$6+'13. Pro-forma Costs'!$I$17+'13. Pro-forma Costs'!$I$21+'13. Pro-forma Costs'!$I$38+'13. Pro-forma Costs'!$I$42)</f>
        <v>103.01610984848485</v>
      </c>
    </row>
    <row r="37" spans="1:10" x14ac:dyDescent="0.2">
      <c r="A37" s="51" t="s">
        <v>166</v>
      </c>
      <c r="B37" s="51" t="s">
        <v>87</v>
      </c>
      <c r="C37" s="243">
        <v>60</v>
      </c>
      <c r="D37" s="246">
        <v>90</v>
      </c>
      <c r="E37" s="243">
        <v>120</v>
      </c>
      <c r="F37" s="51" t="s">
        <v>65</v>
      </c>
      <c r="G37" s="49" t="s">
        <v>347</v>
      </c>
      <c r="H37" s="141">
        <f>C37*('13. Pro-forma Costs'!$I$6+'13. Pro-forma Costs'!$I$17+'13. Pro-forma Costs'!$I$21+'13. Pro-forma Costs'!$I$38+'13. Pro-forma Costs'!$I$42)</f>
        <v>206.03221969696969</v>
      </c>
      <c r="I37" s="141">
        <f>D37*('13. Pro-forma Costs'!$I$6+'13. Pro-forma Costs'!$I$17+'13. Pro-forma Costs'!$I$21+'13. Pro-forma Costs'!$I$38+'13. Pro-forma Costs'!$I$42)</f>
        <v>309.04832954545452</v>
      </c>
      <c r="J37" s="141">
        <f>E37*('13. Pro-forma Costs'!$I$6+'13. Pro-forma Costs'!$I$17+'13. Pro-forma Costs'!$I$21+'13. Pro-forma Costs'!$I$38+'13. Pro-forma Costs'!$I$42)</f>
        <v>412.06443939393938</v>
      </c>
    </row>
    <row r="38" spans="1:10" x14ac:dyDescent="0.2">
      <c r="A38" s="51" t="s">
        <v>166</v>
      </c>
      <c r="B38" s="51" t="s">
        <v>68</v>
      </c>
      <c r="C38" s="243">
        <v>60</v>
      </c>
      <c r="D38" s="246">
        <v>90</v>
      </c>
      <c r="E38" s="243">
        <v>120</v>
      </c>
      <c r="F38" s="51" t="s">
        <v>65</v>
      </c>
      <c r="G38" s="49" t="s">
        <v>347</v>
      </c>
      <c r="H38" s="141">
        <f>C38*('13. Pro-forma Costs'!$I$6+'13. Pro-forma Costs'!$I$17+'13. Pro-forma Costs'!$I$21+'13. Pro-forma Costs'!$I$38+'13. Pro-forma Costs'!$I$42)</f>
        <v>206.03221969696969</v>
      </c>
      <c r="I38" s="141">
        <f>D38*('13. Pro-forma Costs'!$I$6+'13. Pro-forma Costs'!$I$17+'13. Pro-forma Costs'!$I$21+'13. Pro-forma Costs'!$I$38+'13. Pro-forma Costs'!$I$42)</f>
        <v>309.04832954545452</v>
      </c>
      <c r="J38" s="141">
        <f>E38*('13. Pro-forma Costs'!$I$6+'13. Pro-forma Costs'!$I$17+'13. Pro-forma Costs'!$I$21+'13. Pro-forma Costs'!$I$38+'13. Pro-forma Costs'!$I$42)</f>
        <v>412.06443939393938</v>
      </c>
    </row>
    <row r="39" spans="1:10" x14ac:dyDescent="0.2">
      <c r="A39" s="51" t="s">
        <v>166</v>
      </c>
      <c r="B39" s="51" t="s">
        <v>209</v>
      </c>
      <c r="C39" s="243">
        <v>30</v>
      </c>
      <c r="D39" s="246">
        <v>60</v>
      </c>
      <c r="E39" s="243">
        <v>90</v>
      </c>
      <c r="F39" s="51" t="s">
        <v>63</v>
      </c>
      <c r="G39" s="49" t="s">
        <v>131</v>
      </c>
      <c r="H39" s="141">
        <f>C39*'13. Pro-forma Costs'!$I$42</f>
        <v>7.4290000000000003</v>
      </c>
      <c r="I39" s="141">
        <f>D39*'13. Pro-forma Costs'!$I$42</f>
        <v>14.858000000000001</v>
      </c>
      <c r="J39" s="141">
        <f>E39*'13. Pro-forma Costs'!$I$42</f>
        <v>22.287000000000003</v>
      </c>
    </row>
    <row r="40" spans="1:10" x14ac:dyDescent="0.2">
      <c r="A40" s="51" t="s">
        <v>166</v>
      </c>
      <c r="B40" s="51" t="s">
        <v>210</v>
      </c>
      <c r="C40" s="243">
        <v>15</v>
      </c>
      <c r="D40" s="246">
        <v>20</v>
      </c>
      <c r="E40" s="243">
        <v>25</v>
      </c>
      <c r="F40" s="51" t="s">
        <v>63</v>
      </c>
      <c r="G40" s="49" t="s">
        <v>131</v>
      </c>
      <c r="H40" s="141">
        <f>C40*'13. Pro-forma Costs'!$I$42</f>
        <v>3.7145000000000001</v>
      </c>
      <c r="I40" s="141">
        <f>D40*'13. Pro-forma Costs'!$I$42</f>
        <v>4.9526666666666666</v>
      </c>
      <c r="J40" s="141">
        <f>E40*'13. Pro-forma Costs'!$I$42</f>
        <v>6.1908333333333339</v>
      </c>
    </row>
    <row r="41" spans="1:10" x14ac:dyDescent="0.2">
      <c r="A41" s="51" t="s">
        <v>166</v>
      </c>
      <c r="B41" s="51" t="s">
        <v>211</v>
      </c>
      <c r="C41" s="243">
        <v>5</v>
      </c>
      <c r="D41" s="246">
        <v>10</v>
      </c>
      <c r="E41" s="243">
        <v>15</v>
      </c>
      <c r="F41" s="51" t="s">
        <v>63</v>
      </c>
      <c r="G41" s="49" t="s">
        <v>131</v>
      </c>
      <c r="H41" s="141">
        <f>C41*'13. Pro-forma Costs'!$I$42</f>
        <v>1.2381666666666666</v>
      </c>
      <c r="I41" s="141">
        <f>D41*'13. Pro-forma Costs'!$I$42</f>
        <v>2.4763333333333333</v>
      </c>
      <c r="J41" s="141">
        <f>E41*'13. Pro-forma Costs'!$I$42</f>
        <v>3.7145000000000001</v>
      </c>
    </row>
    <row r="42" spans="1:10" x14ac:dyDescent="0.2">
      <c r="A42" s="51" t="s">
        <v>166</v>
      </c>
      <c r="B42" s="51" t="s">
        <v>212</v>
      </c>
      <c r="C42" s="243">
        <v>5</v>
      </c>
      <c r="D42" s="246">
        <v>10</v>
      </c>
      <c r="E42" s="243">
        <v>15</v>
      </c>
      <c r="F42" s="51" t="s">
        <v>214</v>
      </c>
      <c r="G42" s="49" t="s">
        <v>107</v>
      </c>
      <c r="H42" s="175">
        <f>C42*'13. Pro-forma Costs'!$I$6</f>
        <v>10.01952053030303</v>
      </c>
      <c r="I42" s="175">
        <f>D42*'13. Pro-forma Costs'!$I$6</f>
        <v>20.03904106060606</v>
      </c>
      <c r="J42" s="175">
        <f>E42*'13. Pro-forma Costs'!$I$6</f>
        <v>30.05856159090909</v>
      </c>
    </row>
    <row r="43" spans="1:10" ht="13.5" thickBot="1" x14ac:dyDescent="0.25">
      <c r="A43" s="61" t="s">
        <v>166</v>
      </c>
      <c r="B43" s="61" t="s">
        <v>213</v>
      </c>
      <c r="C43" s="244">
        <v>5</v>
      </c>
      <c r="D43" s="248">
        <v>10</v>
      </c>
      <c r="E43" s="244">
        <v>15</v>
      </c>
      <c r="F43" s="61" t="s">
        <v>77</v>
      </c>
      <c r="G43" s="62" t="s">
        <v>99</v>
      </c>
      <c r="H43" s="142">
        <f>C43*'13. Pro-forma Costs'!$I$2</f>
        <v>14.260213863636366</v>
      </c>
      <c r="I43" s="142">
        <f>D43*'13. Pro-forma Costs'!$I$2</f>
        <v>28.520427727272732</v>
      </c>
      <c r="J43" s="142">
        <f>E43*'13. Pro-forma Costs'!$I$2</f>
        <v>42.780641590909099</v>
      </c>
    </row>
    <row r="44" spans="1:10" s="204" customFormat="1" ht="13.5" thickTop="1" x14ac:dyDescent="0.2">
      <c r="A44" s="204" t="s">
        <v>305</v>
      </c>
      <c r="B44" s="205">
        <f>COUNTA(B33:B43)</f>
        <v>11</v>
      </c>
      <c r="C44" s="206"/>
      <c r="D44" s="206"/>
      <c r="E44" s="206"/>
      <c r="G44" s="206"/>
      <c r="H44" s="207">
        <f>SUM(H33:H43)</f>
        <v>538.61706204545453</v>
      </c>
      <c r="I44" s="207">
        <f t="shared" ref="I44:J44" si="3">SUM(I33:I43)</f>
        <v>819.52886777777769</v>
      </c>
      <c r="J44" s="207">
        <f t="shared" si="3"/>
        <v>1117.6100251515149</v>
      </c>
    </row>
    <row r="45" spans="1:10" x14ac:dyDescent="0.2">
      <c r="C45" s="49"/>
      <c r="D45" s="50"/>
      <c r="E45" s="49"/>
      <c r="H45" s="141"/>
      <c r="I45" s="141"/>
      <c r="J45" s="141"/>
    </row>
    <row r="46" spans="1:10" x14ac:dyDescent="0.2">
      <c r="A46" s="67" t="s">
        <v>167</v>
      </c>
      <c r="B46" s="67" t="s">
        <v>86</v>
      </c>
      <c r="C46" s="242">
        <v>60</v>
      </c>
      <c r="D46" s="245">
        <v>90</v>
      </c>
      <c r="E46" s="242">
        <v>120</v>
      </c>
      <c r="F46" s="67" t="s">
        <v>63</v>
      </c>
      <c r="G46" s="68" t="s">
        <v>131</v>
      </c>
      <c r="H46" s="140">
        <f>C46*'13. Pro-forma Costs'!$I$42</f>
        <v>14.858000000000001</v>
      </c>
      <c r="I46" s="140">
        <f>D46*'13. Pro-forma Costs'!$I$42</f>
        <v>22.287000000000003</v>
      </c>
      <c r="J46" s="140">
        <f>E46*'13. Pro-forma Costs'!$I$42</f>
        <v>29.716000000000001</v>
      </c>
    </row>
    <row r="47" spans="1:10" x14ac:dyDescent="0.2">
      <c r="A47" s="51" t="s">
        <v>167</v>
      </c>
      <c r="B47" s="51" t="s">
        <v>158</v>
      </c>
      <c r="C47" s="243">
        <v>30</v>
      </c>
      <c r="D47" s="246">
        <v>60</v>
      </c>
      <c r="E47" s="243">
        <v>90</v>
      </c>
      <c r="F47" s="51" t="s">
        <v>63</v>
      </c>
      <c r="G47" s="49" t="s">
        <v>131</v>
      </c>
      <c r="H47" s="141">
        <f>C47*'13. Pro-forma Costs'!$I$42</f>
        <v>7.4290000000000003</v>
      </c>
      <c r="I47" s="141">
        <f>D47*'13. Pro-forma Costs'!$I$42</f>
        <v>14.858000000000001</v>
      </c>
      <c r="J47" s="141">
        <f>E47*'13. Pro-forma Costs'!$I$42</f>
        <v>22.287000000000003</v>
      </c>
    </row>
    <row r="48" spans="1:10" x14ac:dyDescent="0.2">
      <c r="A48" s="51" t="s">
        <v>167</v>
      </c>
      <c r="B48" s="51" t="s">
        <v>90</v>
      </c>
      <c r="C48" s="243">
        <v>15</v>
      </c>
      <c r="D48" s="246">
        <v>20</v>
      </c>
      <c r="E48" s="243">
        <v>30</v>
      </c>
      <c r="F48" s="51" t="s">
        <v>63</v>
      </c>
      <c r="G48" s="49" t="s">
        <v>131</v>
      </c>
      <c r="H48" s="141">
        <f>C48*'13. Pro-forma Costs'!$I$42</f>
        <v>3.7145000000000001</v>
      </c>
      <c r="I48" s="141">
        <f>D48*'13. Pro-forma Costs'!$I$42</f>
        <v>4.9526666666666666</v>
      </c>
      <c r="J48" s="141">
        <f>E48*'13. Pro-forma Costs'!$I$42</f>
        <v>7.4290000000000003</v>
      </c>
    </row>
    <row r="49" spans="1:10" x14ac:dyDescent="0.2">
      <c r="A49" s="51" t="s">
        <v>167</v>
      </c>
      <c r="B49" s="51" t="s">
        <v>68</v>
      </c>
      <c r="C49" s="243">
        <v>60</v>
      </c>
      <c r="D49" s="246">
        <v>90</v>
      </c>
      <c r="E49" s="243">
        <v>120</v>
      </c>
      <c r="F49" s="51" t="s">
        <v>65</v>
      </c>
      <c r="G49" s="49" t="s">
        <v>347</v>
      </c>
      <c r="H49" s="141">
        <f>C49*('13. Pro-forma Costs'!$I$6+'13. Pro-forma Costs'!$I$17+'13. Pro-forma Costs'!$I$21+'13. Pro-forma Costs'!$I$38+'13. Pro-forma Costs'!$I$42)</f>
        <v>206.03221969696969</v>
      </c>
      <c r="I49" s="141">
        <f>D49*('13. Pro-forma Costs'!$I$6+'13. Pro-forma Costs'!$I$17+'13. Pro-forma Costs'!$I$21+'13. Pro-forma Costs'!$I$38+'13. Pro-forma Costs'!$I$42)</f>
        <v>309.04832954545452</v>
      </c>
      <c r="J49" s="141">
        <f>E49*('13. Pro-forma Costs'!$I$6+'13. Pro-forma Costs'!$I$17+'13. Pro-forma Costs'!$I$21+'13. Pro-forma Costs'!$I$38+'13. Pro-forma Costs'!$I$42)</f>
        <v>412.06443939393938</v>
      </c>
    </row>
    <row r="50" spans="1:10" x14ac:dyDescent="0.2">
      <c r="A50" s="51" t="s">
        <v>167</v>
      </c>
      <c r="B50" s="51" t="s">
        <v>209</v>
      </c>
      <c r="C50" s="243">
        <v>20</v>
      </c>
      <c r="D50" s="246">
        <v>30</v>
      </c>
      <c r="E50" s="243">
        <v>40</v>
      </c>
      <c r="F50" s="51" t="s">
        <v>63</v>
      </c>
      <c r="G50" s="49" t="s">
        <v>131</v>
      </c>
      <c r="H50" s="141">
        <f>C50*'13. Pro-forma Costs'!$I$42</f>
        <v>4.9526666666666666</v>
      </c>
      <c r="I50" s="141">
        <f>D50*'13. Pro-forma Costs'!$I$42</f>
        <v>7.4290000000000003</v>
      </c>
      <c r="J50" s="141">
        <f>E50*'13. Pro-forma Costs'!$I$42</f>
        <v>9.9053333333333331</v>
      </c>
    </row>
    <row r="51" spans="1:10" x14ac:dyDescent="0.2">
      <c r="A51" s="51" t="s">
        <v>167</v>
      </c>
      <c r="B51" s="51" t="s">
        <v>210</v>
      </c>
      <c r="C51" s="243">
        <v>10</v>
      </c>
      <c r="D51" s="246">
        <v>15</v>
      </c>
      <c r="E51" s="243">
        <v>20</v>
      </c>
      <c r="F51" s="51" t="s">
        <v>63</v>
      </c>
      <c r="G51" s="49" t="s">
        <v>131</v>
      </c>
      <c r="H51" s="141">
        <f>C51*'13. Pro-forma Costs'!$I$42</f>
        <v>2.4763333333333333</v>
      </c>
      <c r="I51" s="141">
        <f>D51*'13. Pro-forma Costs'!$I$42</f>
        <v>3.7145000000000001</v>
      </c>
      <c r="J51" s="141">
        <f>E51*'13. Pro-forma Costs'!$I$42</f>
        <v>4.9526666666666666</v>
      </c>
    </row>
    <row r="52" spans="1:10" x14ac:dyDescent="0.2">
      <c r="A52" s="51" t="s">
        <v>167</v>
      </c>
      <c r="B52" s="51" t="s">
        <v>211</v>
      </c>
      <c r="C52" s="243">
        <v>10</v>
      </c>
      <c r="D52" s="246">
        <v>20</v>
      </c>
      <c r="E52" s="243">
        <v>30</v>
      </c>
      <c r="F52" s="51" t="s">
        <v>63</v>
      </c>
      <c r="G52" s="49" t="s">
        <v>131</v>
      </c>
      <c r="H52" s="141">
        <f>C52*'13. Pro-forma Costs'!$I$42</f>
        <v>2.4763333333333333</v>
      </c>
      <c r="I52" s="141">
        <f>D52*'13. Pro-forma Costs'!$I$42</f>
        <v>4.9526666666666666</v>
      </c>
      <c r="J52" s="141">
        <f>E52*'13. Pro-forma Costs'!$I$42</f>
        <v>7.4290000000000003</v>
      </c>
    </row>
    <row r="53" spans="1:10" x14ac:dyDescent="0.2">
      <c r="A53" s="51" t="s">
        <v>167</v>
      </c>
      <c r="B53" s="51" t="s">
        <v>212</v>
      </c>
      <c r="C53" s="243">
        <v>15</v>
      </c>
      <c r="D53" s="246">
        <v>20</v>
      </c>
      <c r="E53" s="243">
        <v>25</v>
      </c>
      <c r="F53" s="51" t="s">
        <v>214</v>
      </c>
      <c r="G53" s="49" t="s">
        <v>107</v>
      </c>
      <c r="H53" s="175">
        <f>C53*'13. Pro-forma Costs'!$I$6</f>
        <v>30.05856159090909</v>
      </c>
      <c r="I53" s="175">
        <f>D53*'13. Pro-forma Costs'!$I$6</f>
        <v>40.07808212121212</v>
      </c>
      <c r="J53" s="175">
        <f>E53*'13. Pro-forma Costs'!$I$6</f>
        <v>50.097602651515146</v>
      </c>
    </row>
    <row r="54" spans="1:10" ht="13.5" thickBot="1" x14ac:dyDescent="0.25">
      <c r="A54" s="61" t="s">
        <v>167</v>
      </c>
      <c r="B54" s="61" t="s">
        <v>213</v>
      </c>
      <c r="C54" s="244">
        <v>10</v>
      </c>
      <c r="D54" s="248">
        <v>20</v>
      </c>
      <c r="E54" s="244">
        <v>30</v>
      </c>
      <c r="F54" s="61" t="s">
        <v>77</v>
      </c>
      <c r="G54" s="62" t="s">
        <v>99</v>
      </c>
      <c r="H54" s="142">
        <f>C54*'13. Pro-forma Costs'!$I$2</f>
        <v>28.520427727272732</v>
      </c>
      <c r="I54" s="142">
        <f>D54*'13. Pro-forma Costs'!$I$2</f>
        <v>57.040855454545465</v>
      </c>
      <c r="J54" s="142">
        <f>E54*'13. Pro-forma Costs'!$I$2</f>
        <v>85.561283181818197</v>
      </c>
    </row>
    <row r="55" spans="1:10" s="204" customFormat="1" ht="13.5" thickTop="1" x14ac:dyDescent="0.2">
      <c r="A55" s="204" t="s">
        <v>305</v>
      </c>
      <c r="B55" s="205">
        <f>COUNTA(B46:B54)</f>
        <v>9</v>
      </c>
      <c r="C55" s="206"/>
      <c r="D55" s="212"/>
      <c r="E55" s="206"/>
      <c r="G55" s="206"/>
      <c r="H55" s="207">
        <f>SUM(H46:H54)</f>
        <v>300.51804234848487</v>
      </c>
      <c r="I55" s="207">
        <f t="shared" ref="I55:J55" si="4">SUM(I46:I54)</f>
        <v>464.36110045454541</v>
      </c>
      <c r="J55" s="207">
        <f t="shared" si="4"/>
        <v>629.4423252272727</v>
      </c>
    </row>
    <row r="56" spans="1:10" x14ac:dyDescent="0.2">
      <c r="C56" s="49"/>
      <c r="D56" s="50"/>
      <c r="E56" s="49"/>
      <c r="G56" s="65"/>
      <c r="H56" s="144"/>
      <c r="I56" s="144"/>
      <c r="J56" s="144"/>
    </row>
    <row r="57" spans="1:10" ht="13.5" thickBot="1" x14ac:dyDescent="0.25">
      <c r="A57" s="176" t="s">
        <v>221</v>
      </c>
      <c r="B57" s="176" t="s">
        <v>216</v>
      </c>
      <c r="C57" s="253">
        <v>30</v>
      </c>
      <c r="D57" s="254">
        <v>45</v>
      </c>
      <c r="E57" s="253">
        <v>60</v>
      </c>
      <c r="F57" s="176" t="s">
        <v>215</v>
      </c>
      <c r="G57" s="77" t="s">
        <v>348</v>
      </c>
      <c r="H57" s="149">
        <f>C57*('13. Pro-forma Costs'!$I$6+'13. Pro-forma Costs'!$I$17+'13. Pro-forma Costs'!$I$21+'13. Pro-forma Costs'!$I$38+'13. Pro-forma Costs'!$I$38+'13. Pro-forma Costs'!$I$42)</f>
        <v>112.37734333333333</v>
      </c>
      <c r="I57" s="149">
        <f>D57*('13. Pro-forma Costs'!$I$6+'13. Pro-forma Costs'!$I$17+'13. Pro-forma Costs'!$I$21+'13. Pro-forma Costs'!$I$38+'13. Pro-forma Costs'!$I$38+'13. Pro-forma Costs'!$I$42)</f>
        <v>168.56601499999999</v>
      </c>
      <c r="J57" s="149">
        <f>E57*('13. Pro-forma Costs'!$I$6+'13. Pro-forma Costs'!$I$17+'13. Pro-forma Costs'!$I$21+'13. Pro-forma Costs'!$I$38+'13. Pro-forma Costs'!$I$38+'13. Pro-forma Costs'!$I$42)</f>
        <v>224.75468666666666</v>
      </c>
    </row>
    <row r="58" spans="1:10" s="204" customFormat="1" ht="13.5" thickTop="1" x14ac:dyDescent="0.2">
      <c r="A58" s="204" t="s">
        <v>305</v>
      </c>
      <c r="B58" s="205">
        <f>COUNTA(B57)</f>
        <v>1</v>
      </c>
      <c r="C58" s="206"/>
      <c r="D58" s="206"/>
      <c r="E58" s="206"/>
      <c r="G58" s="206"/>
      <c r="H58" s="207">
        <f>SUM(H57)</f>
        <v>112.37734333333333</v>
      </c>
      <c r="I58" s="207">
        <f t="shared" ref="I58:J58" si="5">SUM(I57)</f>
        <v>168.56601499999999</v>
      </c>
      <c r="J58" s="207">
        <f t="shared" si="5"/>
        <v>224.75468666666666</v>
      </c>
    </row>
    <row r="59" spans="1:10" x14ac:dyDescent="0.2">
      <c r="C59" s="49"/>
      <c r="D59" s="50"/>
      <c r="E59" s="49"/>
    </row>
    <row r="60" spans="1:10" s="48" customFormat="1" x14ac:dyDescent="0.2">
      <c r="A60" s="71" t="s">
        <v>82</v>
      </c>
      <c r="B60" s="71" t="s">
        <v>81</v>
      </c>
      <c r="C60" s="242">
        <v>30</v>
      </c>
      <c r="D60" s="245">
        <v>45</v>
      </c>
      <c r="E60" s="242">
        <v>60</v>
      </c>
      <c r="F60" s="71" t="s">
        <v>79</v>
      </c>
      <c r="G60" s="68" t="s">
        <v>131</v>
      </c>
      <c r="H60" s="140">
        <f>C60*'13. Pro-forma Costs'!$I$42</f>
        <v>7.4290000000000003</v>
      </c>
      <c r="I60" s="140">
        <f>D60*'13. Pro-forma Costs'!$I$42</f>
        <v>11.143500000000001</v>
      </c>
      <c r="J60" s="140">
        <f>E60*'13. Pro-forma Costs'!$I$42</f>
        <v>14.858000000000001</v>
      </c>
    </row>
    <row r="61" spans="1:10" s="48" customFormat="1" ht="13.5" thickBot="1" x14ac:dyDescent="0.25">
      <c r="A61" s="72" t="s">
        <v>82</v>
      </c>
      <c r="B61" s="72" t="s">
        <v>303</v>
      </c>
      <c r="C61" s="244">
        <v>5</v>
      </c>
      <c r="D61" s="248">
        <v>10</v>
      </c>
      <c r="E61" s="244">
        <v>16</v>
      </c>
      <c r="F61" s="72" t="s">
        <v>79</v>
      </c>
      <c r="G61" s="62" t="s">
        <v>131</v>
      </c>
      <c r="H61" s="142">
        <f>C61*'13. Pro-forma Costs'!$I$42</f>
        <v>1.2381666666666666</v>
      </c>
      <c r="I61" s="142">
        <f>D61*'13. Pro-forma Costs'!$I$42</f>
        <v>2.4763333333333333</v>
      </c>
      <c r="J61" s="142">
        <f>E61*'13. Pro-forma Costs'!$I$42</f>
        <v>3.9621333333333335</v>
      </c>
    </row>
    <row r="62" spans="1:10" s="202" customFormat="1" ht="13.5" thickTop="1" x14ac:dyDescent="0.2">
      <c r="A62" s="204" t="s">
        <v>305</v>
      </c>
      <c r="B62" s="206">
        <f>COUNTA(B60:B61)</f>
        <v>2</v>
      </c>
      <c r="C62" s="206"/>
      <c r="D62" s="206"/>
      <c r="E62" s="206"/>
      <c r="G62" s="206"/>
      <c r="H62" s="207">
        <f>SUM(H60:H61)</f>
        <v>8.6671666666666667</v>
      </c>
      <c r="I62" s="207">
        <f t="shared" ref="I62:J62" si="6">SUM(I60:I61)</f>
        <v>13.619833333333334</v>
      </c>
      <c r="J62" s="207">
        <f t="shared" si="6"/>
        <v>18.820133333333334</v>
      </c>
    </row>
    <row r="63" spans="1:10" s="48" customFormat="1" x14ac:dyDescent="0.2">
      <c r="C63" s="49"/>
      <c r="D63" s="50"/>
      <c r="E63" s="49"/>
      <c r="G63" s="49"/>
      <c r="H63" s="60"/>
      <c r="I63" s="60"/>
      <c r="J63" s="60"/>
    </row>
    <row r="64" spans="1:10" x14ac:dyDescent="0.2">
      <c r="A64" s="67" t="s">
        <v>157</v>
      </c>
      <c r="B64" s="67" t="s">
        <v>144</v>
      </c>
      <c r="C64" s="237">
        <v>10</v>
      </c>
      <c r="D64" s="237">
        <v>20</v>
      </c>
      <c r="E64" s="237">
        <v>30</v>
      </c>
      <c r="F64" s="67" t="s">
        <v>63</v>
      </c>
      <c r="G64" s="68" t="s">
        <v>125</v>
      </c>
      <c r="H64" s="140">
        <f>C64*'13. Pro-forma Costs'!$I$40</f>
        <v>2.8685890404040402</v>
      </c>
      <c r="I64" s="140">
        <f>D64*'13. Pro-forma Costs'!$I$40</f>
        <v>5.7371780808080803</v>
      </c>
      <c r="J64" s="140">
        <f>E64*'13. Pro-forma Costs'!$I$40</f>
        <v>8.6057671212121214</v>
      </c>
    </row>
    <row r="65" spans="1:10" x14ac:dyDescent="0.2">
      <c r="A65" s="51" t="s">
        <v>157</v>
      </c>
      <c r="B65" s="51" t="s">
        <v>145</v>
      </c>
      <c r="C65" s="243">
        <v>20</v>
      </c>
      <c r="D65" s="243">
        <v>30</v>
      </c>
      <c r="E65" s="243">
        <v>40</v>
      </c>
      <c r="F65" s="51" t="s">
        <v>63</v>
      </c>
      <c r="G65" s="49" t="s">
        <v>125</v>
      </c>
      <c r="H65" s="141">
        <f>C65*'13. Pro-forma Costs'!$I$40</f>
        <v>5.7371780808080803</v>
      </c>
      <c r="I65" s="141">
        <f>D65*'13. Pro-forma Costs'!$I$40</f>
        <v>8.6057671212121214</v>
      </c>
      <c r="J65" s="141">
        <f>E65*'13. Pro-forma Costs'!$I$40</f>
        <v>11.474356161616161</v>
      </c>
    </row>
    <row r="66" spans="1:10" x14ac:dyDescent="0.2">
      <c r="A66" s="51" t="s">
        <v>157</v>
      </c>
      <c r="B66" s="51" t="s">
        <v>147</v>
      </c>
      <c r="C66" s="243">
        <v>10</v>
      </c>
      <c r="D66" s="243">
        <v>20</v>
      </c>
      <c r="E66" s="243">
        <v>30</v>
      </c>
      <c r="F66" s="51" t="s">
        <v>63</v>
      </c>
      <c r="G66" s="49" t="s">
        <v>125</v>
      </c>
      <c r="H66" s="141">
        <f>C66*'13. Pro-forma Costs'!$I$40</f>
        <v>2.8685890404040402</v>
      </c>
      <c r="I66" s="141">
        <f>D66*'13. Pro-forma Costs'!$I$40</f>
        <v>5.7371780808080803</v>
      </c>
      <c r="J66" s="141">
        <f>E66*'13. Pro-forma Costs'!$I$40</f>
        <v>8.6057671212121214</v>
      </c>
    </row>
    <row r="67" spans="1:10" ht="13.5" thickBot="1" x14ac:dyDescent="0.25">
      <c r="A67" s="61" t="s">
        <v>157</v>
      </c>
      <c r="B67" s="61" t="s">
        <v>146</v>
      </c>
      <c r="C67" s="244">
        <v>10</v>
      </c>
      <c r="D67" s="244">
        <v>20</v>
      </c>
      <c r="E67" s="244">
        <v>30</v>
      </c>
      <c r="F67" s="61" t="s">
        <v>63</v>
      </c>
      <c r="G67" s="62" t="s">
        <v>125</v>
      </c>
      <c r="H67" s="142">
        <f>C67*'13. Pro-forma Costs'!$I$40</f>
        <v>2.8685890404040402</v>
      </c>
      <c r="I67" s="142">
        <f>D67*'13. Pro-forma Costs'!$I$40</f>
        <v>5.7371780808080803</v>
      </c>
      <c r="J67" s="142">
        <f>E67*'13. Pro-forma Costs'!$I$40</f>
        <v>8.6057671212121214</v>
      </c>
    </row>
    <row r="68" spans="1:10" s="204" customFormat="1" ht="13.5" thickTop="1" x14ac:dyDescent="0.2">
      <c r="A68" s="204" t="s">
        <v>305</v>
      </c>
      <c r="B68" s="205">
        <f>COUNTA(B64:B67)</f>
        <v>4</v>
      </c>
      <c r="C68" s="205"/>
      <c r="D68" s="205"/>
      <c r="E68" s="205"/>
      <c r="G68" s="206"/>
      <c r="H68" s="207">
        <f>SUM(H64:H67)</f>
        <v>14.3429452020202</v>
      </c>
      <c r="I68" s="207">
        <f t="shared" ref="I68:J68" si="7">SUM(I64:I67)</f>
        <v>25.817301363636361</v>
      </c>
      <c r="J68" s="207">
        <f t="shared" si="7"/>
        <v>37.291657525252525</v>
      </c>
    </row>
    <row r="69" spans="1:10" x14ac:dyDescent="0.2">
      <c r="C69" s="58"/>
      <c r="D69" s="58"/>
      <c r="E69" s="58"/>
    </row>
    <row r="70" spans="1:10" s="48" customFormat="1" x14ac:dyDescent="0.2">
      <c r="A70" s="71" t="s">
        <v>219</v>
      </c>
      <c r="B70" s="71" t="s">
        <v>217</v>
      </c>
      <c r="C70" s="242">
        <v>10</v>
      </c>
      <c r="D70" s="242">
        <v>15</v>
      </c>
      <c r="E70" s="242">
        <v>20</v>
      </c>
      <c r="F70" s="71" t="s">
        <v>63</v>
      </c>
      <c r="G70" s="68" t="s">
        <v>131</v>
      </c>
      <c r="H70" s="140">
        <f>C70*'13. Pro-forma Costs'!$I$42</f>
        <v>2.4763333333333333</v>
      </c>
      <c r="I70" s="140">
        <f>D70*'13. Pro-forma Costs'!$I$42</f>
        <v>3.7145000000000001</v>
      </c>
      <c r="J70" s="140">
        <f>E70*'13. Pro-forma Costs'!$I$42</f>
        <v>4.9526666666666666</v>
      </c>
    </row>
    <row r="71" spans="1:10" ht="13.5" thickBot="1" x14ac:dyDescent="0.25">
      <c r="A71" s="61" t="s">
        <v>220</v>
      </c>
      <c r="B71" s="61" t="s">
        <v>218</v>
      </c>
      <c r="C71" s="244">
        <v>5</v>
      </c>
      <c r="D71" s="244">
        <v>10</v>
      </c>
      <c r="E71" s="244">
        <v>15</v>
      </c>
      <c r="F71" s="61" t="s">
        <v>214</v>
      </c>
      <c r="G71" s="62" t="s">
        <v>107</v>
      </c>
      <c r="H71" s="178">
        <f>C71*'13. Pro-forma Costs'!$I$6</f>
        <v>10.01952053030303</v>
      </c>
      <c r="I71" s="178">
        <f>D71*'13. Pro-forma Costs'!$I$6</f>
        <v>20.03904106060606</v>
      </c>
      <c r="J71" s="178">
        <f>E71*'13. Pro-forma Costs'!$I$6</f>
        <v>30.05856159090909</v>
      </c>
    </row>
    <row r="72" spans="1:10" s="204" customFormat="1" ht="13.5" thickTop="1" x14ac:dyDescent="0.2">
      <c r="A72" s="204" t="s">
        <v>305</v>
      </c>
      <c r="B72" s="205">
        <f>COUNTA(B70:B71)</f>
        <v>2</v>
      </c>
      <c r="C72" s="206"/>
      <c r="D72" s="206"/>
      <c r="E72" s="206"/>
      <c r="G72" s="206"/>
      <c r="H72" s="207">
        <f>SUM(H70:H71)</f>
        <v>12.495853863636363</v>
      </c>
      <c r="I72" s="207">
        <f t="shared" ref="I72:J72" si="8">SUM(I70:I71)</f>
        <v>23.753541060606061</v>
      </c>
      <c r="J72" s="207">
        <f t="shared" si="8"/>
        <v>35.011228257575759</v>
      </c>
    </row>
    <row r="73" spans="1:10" x14ac:dyDescent="0.2">
      <c r="C73" s="49"/>
      <c r="D73" s="49"/>
      <c r="E73" s="49"/>
    </row>
    <row r="74" spans="1:10" x14ac:dyDescent="0.2">
      <c r="A74" s="67" t="s">
        <v>163</v>
      </c>
      <c r="B74" s="67" t="s">
        <v>93</v>
      </c>
      <c r="C74" s="242">
        <v>30</v>
      </c>
      <c r="D74" s="245">
        <v>60</v>
      </c>
      <c r="E74" s="242">
        <v>90</v>
      </c>
      <c r="F74" s="67" t="s">
        <v>63</v>
      </c>
      <c r="G74" s="68" t="s">
        <v>131</v>
      </c>
      <c r="H74" s="140">
        <f>C74*'13. Pro-forma Costs'!$I$42</f>
        <v>7.4290000000000003</v>
      </c>
      <c r="I74" s="140">
        <f>D74*'13. Pro-forma Costs'!$I$42</f>
        <v>14.858000000000001</v>
      </c>
      <c r="J74" s="140">
        <f>E74*'13. Pro-forma Costs'!$I$42</f>
        <v>22.287000000000003</v>
      </c>
    </row>
    <row r="75" spans="1:10" x14ac:dyDescent="0.2">
      <c r="A75" s="51" t="s">
        <v>163</v>
      </c>
      <c r="B75" s="51" t="s">
        <v>304</v>
      </c>
      <c r="C75" s="243">
        <v>15</v>
      </c>
      <c r="D75" s="246">
        <v>30</v>
      </c>
      <c r="E75" s="243">
        <v>60</v>
      </c>
      <c r="F75" s="51" t="s">
        <v>63</v>
      </c>
      <c r="G75" s="49" t="s">
        <v>131</v>
      </c>
      <c r="H75" s="141">
        <f>C75*'13. Pro-forma Costs'!$I$42</f>
        <v>3.7145000000000001</v>
      </c>
      <c r="I75" s="141">
        <f>D75*'13. Pro-forma Costs'!$I$42</f>
        <v>7.4290000000000003</v>
      </c>
      <c r="J75" s="141">
        <f>E75*'13. Pro-forma Costs'!$I$42</f>
        <v>14.858000000000001</v>
      </c>
    </row>
    <row r="76" spans="1:10" x14ac:dyDescent="0.2">
      <c r="A76" s="51" t="s">
        <v>163</v>
      </c>
      <c r="B76" s="51" t="s">
        <v>162</v>
      </c>
      <c r="C76" s="243">
        <v>15</v>
      </c>
      <c r="D76" s="246">
        <v>30</v>
      </c>
      <c r="E76" s="243">
        <v>45</v>
      </c>
      <c r="F76" s="51" t="s">
        <v>63</v>
      </c>
      <c r="G76" s="49" t="s">
        <v>131</v>
      </c>
      <c r="H76" s="141">
        <f>C76*'13. Pro-forma Costs'!$I$42</f>
        <v>3.7145000000000001</v>
      </c>
      <c r="I76" s="141">
        <f>D76*'13. Pro-forma Costs'!$I$42</f>
        <v>7.4290000000000003</v>
      </c>
      <c r="J76" s="141">
        <f>E76*'13. Pro-forma Costs'!$I$42</f>
        <v>11.143500000000001</v>
      </c>
    </row>
    <row r="77" spans="1:10" x14ac:dyDescent="0.2">
      <c r="A77" s="51" t="s">
        <v>163</v>
      </c>
      <c r="B77" s="51" t="s">
        <v>161</v>
      </c>
      <c r="C77" s="243">
        <v>5</v>
      </c>
      <c r="D77" s="246">
        <v>10</v>
      </c>
      <c r="E77" s="243">
        <v>15</v>
      </c>
      <c r="F77" s="51" t="s">
        <v>63</v>
      </c>
      <c r="G77" s="49" t="s">
        <v>131</v>
      </c>
      <c r="H77" s="141">
        <f>C77*'13. Pro-forma Costs'!$I$42</f>
        <v>1.2381666666666666</v>
      </c>
      <c r="I77" s="141">
        <f>D77*'13. Pro-forma Costs'!$I$42</f>
        <v>2.4763333333333333</v>
      </c>
      <c r="J77" s="141">
        <f>E77*'13. Pro-forma Costs'!$I$42</f>
        <v>3.7145000000000001</v>
      </c>
    </row>
    <row r="78" spans="1:10" x14ac:dyDescent="0.2">
      <c r="A78" s="51" t="s">
        <v>163</v>
      </c>
      <c r="B78" s="51" t="s">
        <v>83</v>
      </c>
      <c r="C78" s="243">
        <v>5</v>
      </c>
      <c r="D78" s="246">
        <v>10</v>
      </c>
      <c r="E78" s="243">
        <v>15</v>
      </c>
      <c r="F78" s="51" t="s">
        <v>63</v>
      </c>
      <c r="G78" s="49" t="s">
        <v>131</v>
      </c>
      <c r="H78" s="141">
        <f>C78*'13. Pro-forma Costs'!$I$42</f>
        <v>1.2381666666666666</v>
      </c>
      <c r="I78" s="141">
        <f>D78*'13. Pro-forma Costs'!$I$42</f>
        <v>2.4763333333333333</v>
      </c>
      <c r="J78" s="141">
        <f>E78*'13. Pro-forma Costs'!$I$42</f>
        <v>3.7145000000000001</v>
      </c>
    </row>
    <row r="79" spans="1:10" ht="13.5" thickBot="1" x14ac:dyDescent="0.25">
      <c r="A79" s="61" t="s">
        <v>163</v>
      </c>
      <c r="B79" s="61" t="s">
        <v>148</v>
      </c>
      <c r="C79" s="244">
        <v>10</v>
      </c>
      <c r="D79" s="244">
        <v>15</v>
      </c>
      <c r="E79" s="244">
        <v>20</v>
      </c>
      <c r="F79" s="61" t="s">
        <v>63</v>
      </c>
      <c r="G79" s="62" t="s">
        <v>131</v>
      </c>
      <c r="H79" s="142">
        <f>C79*'13. Pro-forma Costs'!$I$42</f>
        <v>2.4763333333333333</v>
      </c>
      <c r="I79" s="142">
        <f>D79*'13. Pro-forma Costs'!$I$42</f>
        <v>3.7145000000000001</v>
      </c>
      <c r="J79" s="142">
        <f>E79*'13. Pro-forma Costs'!$I$42</f>
        <v>4.9526666666666666</v>
      </c>
    </row>
    <row r="80" spans="1:10" s="204" customFormat="1" ht="13.5" thickTop="1" x14ac:dyDescent="0.2">
      <c r="A80" s="204" t="s">
        <v>305</v>
      </c>
      <c r="B80" s="205">
        <f>COUNTA(B74:B79)</f>
        <v>6</v>
      </c>
      <c r="C80" s="206"/>
      <c r="D80" s="206"/>
      <c r="E80" s="206"/>
      <c r="G80" s="206"/>
      <c r="H80" s="207">
        <f>SUM(H74:H79)</f>
        <v>19.81066666666667</v>
      </c>
      <c r="I80" s="207">
        <f t="shared" ref="I80:J80" si="9">SUM(I74:I79)</f>
        <v>38.383166666666675</v>
      </c>
      <c r="J80" s="207">
        <f t="shared" si="9"/>
        <v>60.670166666666674</v>
      </c>
    </row>
    <row r="81" spans="1:10" x14ac:dyDescent="0.2">
      <c r="C81" s="49"/>
      <c r="D81" s="49"/>
      <c r="E81" s="49"/>
    </row>
    <row r="82" spans="1:10" x14ac:dyDescent="0.2">
      <c r="A82" s="67" t="s">
        <v>204</v>
      </c>
      <c r="B82" s="67" t="s">
        <v>222</v>
      </c>
      <c r="C82" s="242">
        <v>10</v>
      </c>
      <c r="D82" s="242">
        <v>15</v>
      </c>
      <c r="E82" s="242">
        <v>20</v>
      </c>
      <c r="F82" s="67" t="s">
        <v>63</v>
      </c>
      <c r="G82" s="68" t="s">
        <v>131</v>
      </c>
      <c r="H82" s="140">
        <f>C82*'13. Pro-forma Costs'!$I$42</f>
        <v>2.4763333333333333</v>
      </c>
      <c r="I82" s="140">
        <f>D82*'13. Pro-forma Costs'!$I$42</f>
        <v>3.7145000000000001</v>
      </c>
      <c r="J82" s="140">
        <f>E82*'13. Pro-forma Costs'!$I$42</f>
        <v>4.9526666666666666</v>
      </c>
    </row>
    <row r="83" spans="1:10" ht="13.5" thickBot="1" x14ac:dyDescent="0.25">
      <c r="A83" s="61" t="s">
        <v>204</v>
      </c>
      <c r="B83" s="61" t="s">
        <v>223</v>
      </c>
      <c r="C83" s="244">
        <v>10</v>
      </c>
      <c r="D83" s="244">
        <v>15</v>
      </c>
      <c r="E83" s="244">
        <v>20</v>
      </c>
      <c r="F83" s="61" t="s">
        <v>63</v>
      </c>
      <c r="G83" s="62" t="s">
        <v>131</v>
      </c>
      <c r="H83" s="142">
        <f>C83*'13. Pro-forma Costs'!$I$42</f>
        <v>2.4763333333333333</v>
      </c>
      <c r="I83" s="142">
        <f>D83*'13. Pro-forma Costs'!$I$42</f>
        <v>3.7145000000000001</v>
      </c>
      <c r="J83" s="142">
        <f>E83*'13. Pro-forma Costs'!$I$42</f>
        <v>4.9526666666666666</v>
      </c>
    </row>
    <row r="84" spans="1:10" s="204" customFormat="1" ht="13.5" thickTop="1" x14ac:dyDescent="0.2">
      <c r="A84" s="204" t="s">
        <v>305</v>
      </c>
      <c r="B84" s="205">
        <f>COUNTA(B82:B83)</f>
        <v>2</v>
      </c>
      <c r="C84" s="205"/>
      <c r="D84" s="205"/>
      <c r="E84" s="205"/>
      <c r="G84" s="206"/>
      <c r="H84" s="207">
        <f>SUM(H82:H83)</f>
        <v>4.9526666666666666</v>
      </c>
      <c r="I84" s="207">
        <f t="shared" ref="I84:J84" si="10">SUM(I82:I83)</f>
        <v>7.4290000000000003</v>
      </c>
      <c r="J84" s="207">
        <f t="shared" si="10"/>
        <v>9.9053333333333331</v>
      </c>
    </row>
  </sheetData>
  <mergeCells count="2">
    <mergeCell ref="C1:E1"/>
    <mergeCell ref="A1:B1"/>
  </mergeCell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J64"/>
  <sheetViews>
    <sheetView zoomScale="90" zoomScaleNormal="90" workbookViewId="0">
      <selection sqref="A1:B1"/>
    </sheetView>
  </sheetViews>
  <sheetFormatPr defaultColWidth="9.140625" defaultRowHeight="12.75" x14ac:dyDescent="0.2"/>
  <cols>
    <col min="1" max="1" width="32.5703125" style="46" customWidth="1"/>
    <col min="2" max="2" width="31.28515625" style="46" customWidth="1"/>
    <col min="3" max="3" width="8.85546875" style="46" customWidth="1"/>
    <col min="4" max="4" width="9.5703125" style="46" customWidth="1"/>
    <col min="5" max="5" width="7.85546875" style="46" customWidth="1"/>
    <col min="6" max="6" width="32.42578125" style="46" customWidth="1"/>
    <col min="7" max="7" width="18.140625" style="60" customWidth="1"/>
    <col min="8" max="10" width="9.140625" style="147"/>
    <col min="11" max="16384" width="9.140625" style="46"/>
  </cols>
  <sheetData>
    <row r="1" spans="1:10" s="48" customFormat="1" ht="15" x14ac:dyDescent="0.25">
      <c r="A1" s="400" t="s">
        <v>237</v>
      </c>
      <c r="B1" s="402"/>
      <c r="C1" s="393" t="s">
        <v>342</v>
      </c>
      <c r="D1" s="397"/>
      <c r="E1" s="397"/>
      <c r="F1" s="54"/>
      <c r="G1" s="56"/>
      <c r="H1" s="155"/>
      <c r="I1" s="155" t="s">
        <v>299</v>
      </c>
      <c r="J1" s="155"/>
    </row>
    <row r="2" spans="1:10" s="48" customFormat="1" x14ac:dyDescent="0.2">
      <c r="A2" s="53" t="s">
        <v>62</v>
      </c>
      <c r="B2" s="53" t="s">
        <v>160</v>
      </c>
      <c r="C2" s="55" t="s">
        <v>169</v>
      </c>
      <c r="D2" s="56" t="s">
        <v>170</v>
      </c>
      <c r="E2" s="56" t="s">
        <v>171</v>
      </c>
      <c r="F2" s="53" t="s">
        <v>61</v>
      </c>
      <c r="G2" s="56" t="s">
        <v>0</v>
      </c>
      <c r="H2" s="155" t="s">
        <v>169</v>
      </c>
      <c r="I2" s="155" t="s">
        <v>170</v>
      </c>
      <c r="J2" s="155" t="s">
        <v>171</v>
      </c>
    </row>
    <row r="3" spans="1:10" s="48" customFormat="1" ht="14.25" customHeight="1" thickBot="1" x14ac:dyDescent="0.25">
      <c r="A3" s="76" t="s">
        <v>64</v>
      </c>
      <c r="B3" s="76" t="s">
        <v>172</v>
      </c>
      <c r="C3" s="253">
        <v>15</v>
      </c>
      <c r="D3" s="254">
        <v>30</v>
      </c>
      <c r="E3" s="253">
        <v>60</v>
      </c>
      <c r="F3" s="76" t="s">
        <v>63</v>
      </c>
      <c r="G3" s="77" t="s">
        <v>125</v>
      </c>
      <c r="H3" s="149">
        <f>'13. Pro-forma Costs'!$I$38*C3</f>
        <v>4.6806167424242426</v>
      </c>
      <c r="I3" s="149">
        <f>'13. Pro-forma Costs'!$I$38*D3</f>
        <v>9.3612334848484853</v>
      </c>
      <c r="J3" s="149">
        <f>'13. Pro-forma Costs'!$I$38*E3</f>
        <v>18.722466969696971</v>
      </c>
    </row>
    <row r="4" spans="1:10" s="202" customFormat="1" ht="14.25" customHeight="1" thickTop="1" x14ac:dyDescent="0.2">
      <c r="A4" s="202" t="s">
        <v>305</v>
      </c>
      <c r="B4" s="206">
        <f>COUNTA(C3)</f>
        <v>1</v>
      </c>
      <c r="D4" s="206"/>
      <c r="E4" s="206"/>
      <c r="G4" s="206"/>
      <c r="H4" s="207">
        <f>SUM(H3)</f>
        <v>4.6806167424242426</v>
      </c>
      <c r="I4" s="207">
        <f t="shared" ref="I4:J4" si="0">SUM(I3)</f>
        <v>9.3612334848484853</v>
      </c>
      <c r="J4" s="207">
        <f t="shared" si="0"/>
        <v>18.722466969696971</v>
      </c>
    </row>
    <row r="5" spans="1:10" s="48" customFormat="1" ht="14.25" customHeight="1" x14ac:dyDescent="0.2">
      <c r="C5" s="49"/>
      <c r="D5" s="50"/>
      <c r="E5" s="49"/>
      <c r="G5" s="49"/>
      <c r="H5" s="141"/>
      <c r="I5" s="141"/>
      <c r="J5" s="141"/>
    </row>
    <row r="6" spans="1:10" s="48" customFormat="1" x14ac:dyDescent="0.2">
      <c r="A6" s="71" t="s">
        <v>165</v>
      </c>
      <c r="B6" s="71" t="s">
        <v>84</v>
      </c>
      <c r="C6" s="242">
        <v>60</v>
      </c>
      <c r="D6" s="245">
        <v>120</v>
      </c>
      <c r="E6" s="242">
        <v>180</v>
      </c>
      <c r="F6" s="71" t="s">
        <v>63</v>
      </c>
      <c r="G6" s="68" t="s">
        <v>125</v>
      </c>
      <c r="H6" s="140">
        <f>'13. Pro-forma Costs'!$I$38*C6</f>
        <v>18.722466969696971</v>
      </c>
      <c r="I6" s="140">
        <f>'13. Pro-forma Costs'!$I$38*D6</f>
        <v>37.444933939393941</v>
      </c>
      <c r="J6" s="140">
        <f>'13. Pro-forma Costs'!$I$38*E6</f>
        <v>56.167400909090908</v>
      </c>
    </row>
    <row r="7" spans="1:10" s="48" customFormat="1" x14ac:dyDescent="0.2">
      <c r="A7" s="48" t="s">
        <v>165</v>
      </c>
      <c r="B7" s="48" t="s">
        <v>181</v>
      </c>
      <c r="C7" s="243">
        <v>15</v>
      </c>
      <c r="D7" s="246">
        <v>30</v>
      </c>
      <c r="E7" s="243">
        <v>45</v>
      </c>
      <c r="F7" s="48" t="s">
        <v>63</v>
      </c>
      <c r="G7" s="49" t="s">
        <v>125</v>
      </c>
      <c r="H7" s="141">
        <f>'13. Pro-forma Costs'!$I$38*C7</f>
        <v>4.6806167424242426</v>
      </c>
      <c r="I7" s="141">
        <f>'13. Pro-forma Costs'!$I$38*D7</f>
        <v>9.3612334848484853</v>
      </c>
      <c r="J7" s="141">
        <f>'13. Pro-forma Costs'!$I$38*E7</f>
        <v>14.041850227272727</v>
      </c>
    </row>
    <row r="8" spans="1:10" s="48" customFormat="1" x14ac:dyDescent="0.2">
      <c r="A8" s="48" t="s">
        <v>165</v>
      </c>
      <c r="B8" s="48" t="s">
        <v>180</v>
      </c>
      <c r="C8" s="243">
        <v>30</v>
      </c>
      <c r="D8" s="246">
        <v>60</v>
      </c>
      <c r="E8" s="243">
        <v>120</v>
      </c>
      <c r="F8" s="48" t="s">
        <v>63</v>
      </c>
      <c r="G8" s="49" t="s">
        <v>125</v>
      </c>
      <c r="H8" s="141">
        <f>'13. Pro-forma Costs'!$I$38*C8</f>
        <v>9.3612334848484853</v>
      </c>
      <c r="I8" s="141">
        <f>'13. Pro-forma Costs'!$I$38*D8</f>
        <v>18.722466969696971</v>
      </c>
      <c r="J8" s="141">
        <f>'13. Pro-forma Costs'!$I$38*E8</f>
        <v>37.444933939393941</v>
      </c>
    </row>
    <row r="9" spans="1:10" s="48" customFormat="1" x14ac:dyDescent="0.2">
      <c r="A9" s="48" t="s">
        <v>165</v>
      </c>
      <c r="B9" s="48" t="s">
        <v>88</v>
      </c>
      <c r="C9" s="243">
        <v>5</v>
      </c>
      <c r="D9" s="246">
        <v>10</v>
      </c>
      <c r="E9" s="243">
        <v>15</v>
      </c>
      <c r="F9" s="48" t="s">
        <v>63</v>
      </c>
      <c r="G9" s="49" t="s">
        <v>125</v>
      </c>
      <c r="H9" s="141">
        <f>'13. Pro-forma Costs'!$I$38*C9</f>
        <v>1.5602055808080808</v>
      </c>
      <c r="I9" s="141">
        <f>'13. Pro-forma Costs'!$I$38*D9</f>
        <v>3.1204111616161616</v>
      </c>
      <c r="J9" s="141">
        <f>'13. Pro-forma Costs'!$I$38*E9</f>
        <v>4.6806167424242426</v>
      </c>
    </row>
    <row r="10" spans="1:10" s="48" customFormat="1" x14ac:dyDescent="0.2">
      <c r="A10" s="48" t="s">
        <v>165</v>
      </c>
      <c r="B10" s="48" t="s">
        <v>173</v>
      </c>
      <c r="C10" s="243">
        <v>15</v>
      </c>
      <c r="D10" s="246">
        <v>20</v>
      </c>
      <c r="E10" s="243">
        <v>30</v>
      </c>
      <c r="F10" s="48" t="s">
        <v>65</v>
      </c>
      <c r="G10" s="49" t="s">
        <v>341</v>
      </c>
      <c r="H10" s="141">
        <f>C10*('13. Pro-forma Costs'!$I$38+'13. Pro-forma Costs'!$I$24+'13. Pro-forma Costs'!$I$38)</f>
        <v>14.887596818181818</v>
      </c>
      <c r="I10" s="141">
        <f>D10*('13. Pro-forma Costs'!$I$38+'13. Pro-forma Costs'!$I$24+'13. Pro-forma Costs'!$I$38)</f>
        <v>19.850129090909089</v>
      </c>
      <c r="J10" s="141">
        <f>E10*('13. Pro-forma Costs'!$I$38+'13. Pro-forma Costs'!$I$24+'13. Pro-forma Costs'!$I$38)</f>
        <v>29.775193636363635</v>
      </c>
    </row>
    <row r="11" spans="1:10" s="51" customFormat="1" x14ac:dyDescent="0.2">
      <c r="A11" s="51" t="s">
        <v>165</v>
      </c>
      <c r="B11" s="51" t="s">
        <v>224</v>
      </c>
      <c r="C11" s="243">
        <v>90</v>
      </c>
      <c r="D11" s="246">
        <v>120</v>
      </c>
      <c r="E11" s="243">
        <v>150</v>
      </c>
      <c r="F11" s="51" t="s">
        <v>65</v>
      </c>
      <c r="G11" s="49" t="s">
        <v>341</v>
      </c>
      <c r="H11" s="141">
        <f>C11*('13. Pro-forma Costs'!$I$38+'13. Pro-forma Costs'!$I$24+'13. Pro-forma Costs'!$I$38)</f>
        <v>89.325580909090903</v>
      </c>
      <c r="I11" s="141">
        <f>D11*('13. Pro-forma Costs'!$I$38+'13. Pro-forma Costs'!$I$24+'13. Pro-forma Costs'!$I$38)</f>
        <v>119.10077454545454</v>
      </c>
      <c r="J11" s="141">
        <f>E11*('13. Pro-forma Costs'!$I$38+'13. Pro-forma Costs'!$I$24+'13. Pro-forma Costs'!$I$38)</f>
        <v>148.87596818181817</v>
      </c>
    </row>
    <row r="12" spans="1:10" s="48" customFormat="1" x14ac:dyDescent="0.2">
      <c r="A12" s="48" t="s">
        <v>165</v>
      </c>
      <c r="B12" s="48" t="s">
        <v>66</v>
      </c>
      <c r="C12" s="243">
        <v>15</v>
      </c>
      <c r="D12" s="246">
        <v>30</v>
      </c>
      <c r="E12" s="243">
        <v>60</v>
      </c>
      <c r="F12" s="48" t="s">
        <v>63</v>
      </c>
      <c r="G12" s="49" t="s">
        <v>125</v>
      </c>
      <c r="H12" s="141">
        <f>'13. Pro-forma Costs'!$I$38*C12</f>
        <v>4.6806167424242426</v>
      </c>
      <c r="I12" s="141">
        <f>'13. Pro-forma Costs'!$I$38*D12</f>
        <v>9.3612334848484853</v>
      </c>
      <c r="J12" s="141">
        <f>'13. Pro-forma Costs'!$I$38*E12</f>
        <v>18.722466969696971</v>
      </c>
    </row>
    <row r="13" spans="1:10" s="48" customFormat="1" ht="13.5" thickBot="1" x14ac:dyDescent="0.25">
      <c r="A13" s="72" t="s">
        <v>165</v>
      </c>
      <c r="B13" s="72" t="s">
        <v>67</v>
      </c>
      <c r="C13" s="244">
        <v>15</v>
      </c>
      <c r="D13" s="248">
        <v>20</v>
      </c>
      <c r="E13" s="244">
        <v>30</v>
      </c>
      <c r="F13" s="72" t="s">
        <v>65</v>
      </c>
      <c r="G13" s="62" t="s">
        <v>341</v>
      </c>
      <c r="H13" s="142">
        <f>C13*('13. Pro-forma Costs'!$I$38+'13. Pro-forma Costs'!$I$24+'13. Pro-forma Costs'!$I$38)</f>
        <v>14.887596818181818</v>
      </c>
      <c r="I13" s="142">
        <f>D13*('13. Pro-forma Costs'!$I$38+'13. Pro-forma Costs'!$I$24+'13. Pro-forma Costs'!$I$38)</f>
        <v>19.850129090909089</v>
      </c>
      <c r="J13" s="142">
        <f>E13*('13. Pro-forma Costs'!$I$38+'13. Pro-forma Costs'!$I$24+'13. Pro-forma Costs'!$I$38)</f>
        <v>29.775193636363635</v>
      </c>
    </row>
    <row r="14" spans="1:10" s="202" customFormat="1" ht="14.25" customHeight="1" thickTop="1" x14ac:dyDescent="0.2">
      <c r="A14" s="202" t="s">
        <v>305</v>
      </c>
      <c r="B14" s="206">
        <f>COUNTA(B6:B13)</f>
        <v>8</v>
      </c>
      <c r="C14" s="206"/>
      <c r="D14" s="206"/>
      <c r="E14" s="206"/>
      <c r="G14" s="206"/>
      <c r="H14" s="207">
        <f>SUM(H6:H13)</f>
        <v>158.10591406565655</v>
      </c>
      <c r="I14" s="207">
        <f t="shared" ref="I14:J14" si="1">SUM(I6:I13)</f>
        <v>236.81131176767678</v>
      </c>
      <c r="J14" s="207">
        <f t="shared" si="1"/>
        <v>339.48362424242424</v>
      </c>
    </row>
    <row r="15" spans="1:10" s="48" customFormat="1" ht="14.25" customHeight="1" x14ac:dyDescent="0.2">
      <c r="C15" s="49"/>
      <c r="D15" s="50"/>
      <c r="E15" s="49"/>
      <c r="G15" s="49"/>
      <c r="H15" s="141"/>
      <c r="I15" s="141"/>
      <c r="J15" s="141"/>
    </row>
    <row r="16" spans="1:10" s="48" customFormat="1" x14ac:dyDescent="0.2">
      <c r="A16" s="71" t="s">
        <v>166</v>
      </c>
      <c r="B16" s="71" t="s">
        <v>85</v>
      </c>
      <c r="C16" s="242">
        <v>120</v>
      </c>
      <c r="D16" s="245">
        <v>180</v>
      </c>
      <c r="E16" s="242">
        <v>240</v>
      </c>
      <c r="F16" s="71" t="s">
        <v>63</v>
      </c>
      <c r="G16" s="68" t="s">
        <v>125</v>
      </c>
      <c r="H16" s="140">
        <f>'13. Pro-forma Costs'!$I$38*C16</f>
        <v>37.444933939393941</v>
      </c>
      <c r="I16" s="140">
        <f>'13. Pro-forma Costs'!$I$38*D16</f>
        <v>56.167400909090908</v>
      </c>
      <c r="J16" s="140">
        <f>'13. Pro-forma Costs'!$I$38*E16</f>
        <v>74.889867878787882</v>
      </c>
    </row>
    <row r="17" spans="1:10" s="48" customFormat="1" x14ac:dyDescent="0.2">
      <c r="A17" s="48" t="s">
        <v>166</v>
      </c>
      <c r="B17" s="48" t="s">
        <v>360</v>
      </c>
      <c r="C17" s="243">
        <v>30</v>
      </c>
      <c r="D17" s="246">
        <v>60</v>
      </c>
      <c r="E17" s="243">
        <v>90</v>
      </c>
      <c r="F17" s="48" t="s">
        <v>63</v>
      </c>
      <c r="G17" s="49" t="s">
        <v>125</v>
      </c>
      <c r="H17" s="141">
        <f>'13. Pro-forma Costs'!$I$38*C17</f>
        <v>9.3612334848484853</v>
      </c>
      <c r="I17" s="141">
        <f>'13. Pro-forma Costs'!$I$38*D17</f>
        <v>18.722466969696971</v>
      </c>
      <c r="J17" s="141">
        <f>'13. Pro-forma Costs'!$I$38*E17</f>
        <v>28.083700454545454</v>
      </c>
    </row>
    <row r="18" spans="1:10" s="48" customFormat="1" x14ac:dyDescent="0.2">
      <c r="A18" s="48" t="s">
        <v>166</v>
      </c>
      <c r="B18" s="48" t="s">
        <v>89</v>
      </c>
      <c r="C18" s="243">
        <v>5</v>
      </c>
      <c r="D18" s="246">
        <v>10</v>
      </c>
      <c r="E18" s="243">
        <v>15</v>
      </c>
      <c r="F18" s="48" t="s">
        <v>63</v>
      </c>
      <c r="G18" s="49" t="s">
        <v>125</v>
      </c>
      <c r="H18" s="141">
        <f>'13. Pro-forma Costs'!$I$38*C18</f>
        <v>1.5602055808080808</v>
      </c>
      <c r="I18" s="141">
        <f>'13. Pro-forma Costs'!$I$38*D18</f>
        <v>3.1204111616161616</v>
      </c>
      <c r="J18" s="141">
        <f>'13. Pro-forma Costs'!$I$38*E18</f>
        <v>4.6806167424242426</v>
      </c>
    </row>
    <row r="19" spans="1:10" s="48" customFormat="1" x14ac:dyDescent="0.2">
      <c r="A19" s="48" t="s">
        <v>166</v>
      </c>
      <c r="B19" s="48" t="s">
        <v>174</v>
      </c>
      <c r="C19" s="243">
        <v>15</v>
      </c>
      <c r="D19" s="246">
        <v>20</v>
      </c>
      <c r="E19" s="243">
        <v>30</v>
      </c>
      <c r="F19" s="48" t="s">
        <v>65</v>
      </c>
      <c r="G19" s="49" t="s">
        <v>341</v>
      </c>
      <c r="H19" s="141">
        <f>C19*('13. Pro-forma Costs'!$I$38+'13. Pro-forma Costs'!$I$24+'13. Pro-forma Costs'!$I$38)</f>
        <v>14.887596818181818</v>
      </c>
      <c r="I19" s="141">
        <f>D19*('13. Pro-forma Costs'!$I$38+'13. Pro-forma Costs'!$I$24+'13. Pro-forma Costs'!$I$38)</f>
        <v>19.850129090909089</v>
      </c>
      <c r="J19" s="141">
        <f>E19*('13. Pro-forma Costs'!$I$38+'13. Pro-forma Costs'!$I$24+'13. Pro-forma Costs'!$I$38)</f>
        <v>29.775193636363635</v>
      </c>
    </row>
    <row r="20" spans="1:10" s="48" customFormat="1" x14ac:dyDescent="0.2">
      <c r="A20" s="48" t="s">
        <v>166</v>
      </c>
      <c r="B20" s="48" t="s">
        <v>87</v>
      </c>
      <c r="C20" s="243">
        <v>60</v>
      </c>
      <c r="D20" s="246">
        <v>90</v>
      </c>
      <c r="E20" s="243">
        <v>120</v>
      </c>
      <c r="F20" s="48" t="s">
        <v>65</v>
      </c>
      <c r="G20" s="49" t="s">
        <v>341</v>
      </c>
      <c r="H20" s="141">
        <f>C20*('13. Pro-forma Costs'!$I$38+'13. Pro-forma Costs'!$I$24+'13. Pro-forma Costs'!$I$38)</f>
        <v>59.550387272727271</v>
      </c>
      <c r="I20" s="141">
        <f>D20*('13. Pro-forma Costs'!$I$38+'13. Pro-forma Costs'!$I$24+'13. Pro-forma Costs'!$I$38)</f>
        <v>89.325580909090903</v>
      </c>
      <c r="J20" s="141">
        <f>E20*('13. Pro-forma Costs'!$I$38+'13. Pro-forma Costs'!$I$24+'13. Pro-forma Costs'!$I$38)</f>
        <v>119.10077454545454</v>
      </c>
    </row>
    <row r="21" spans="1:10" s="48" customFormat="1" x14ac:dyDescent="0.2">
      <c r="A21" s="48" t="s">
        <v>166</v>
      </c>
      <c r="B21" s="48" t="s">
        <v>68</v>
      </c>
      <c r="C21" s="243">
        <v>60</v>
      </c>
      <c r="D21" s="246">
        <v>90</v>
      </c>
      <c r="E21" s="243">
        <v>120</v>
      </c>
      <c r="F21" s="48" t="s">
        <v>65</v>
      </c>
      <c r="G21" s="49" t="s">
        <v>341</v>
      </c>
      <c r="H21" s="141">
        <f>C21*('13. Pro-forma Costs'!$I$38+'13. Pro-forma Costs'!$I$24+'13. Pro-forma Costs'!$I$38)</f>
        <v>59.550387272727271</v>
      </c>
      <c r="I21" s="141">
        <f>D21*('13. Pro-forma Costs'!$I$38+'13. Pro-forma Costs'!$I$24+'13. Pro-forma Costs'!$I$38)</f>
        <v>89.325580909090903</v>
      </c>
      <c r="J21" s="141">
        <f>E21*('13. Pro-forma Costs'!$I$38+'13. Pro-forma Costs'!$I$24+'13. Pro-forma Costs'!$I$38)</f>
        <v>119.10077454545454</v>
      </c>
    </row>
    <row r="22" spans="1:10" s="48" customFormat="1" x14ac:dyDescent="0.2">
      <c r="A22" s="48" t="s">
        <v>166</v>
      </c>
      <c r="B22" s="48" t="s">
        <v>66</v>
      </c>
      <c r="C22" s="243">
        <v>30</v>
      </c>
      <c r="D22" s="246">
        <v>60</v>
      </c>
      <c r="E22" s="243">
        <v>90</v>
      </c>
      <c r="F22" s="48" t="s">
        <v>63</v>
      </c>
      <c r="G22" s="49" t="s">
        <v>125</v>
      </c>
      <c r="H22" s="141">
        <f>'13. Pro-forma Costs'!$I$38*C22</f>
        <v>9.3612334848484853</v>
      </c>
      <c r="I22" s="141">
        <f>'13. Pro-forma Costs'!$I$38*D22</f>
        <v>18.722466969696971</v>
      </c>
      <c r="J22" s="141">
        <f>'13. Pro-forma Costs'!$I$38*E22</f>
        <v>28.083700454545454</v>
      </c>
    </row>
    <row r="23" spans="1:10" s="48" customFormat="1" ht="13.5" thickBot="1" x14ac:dyDescent="0.25">
      <c r="A23" s="72" t="s">
        <v>166</v>
      </c>
      <c r="B23" s="72" t="s">
        <v>67</v>
      </c>
      <c r="C23" s="244">
        <v>15</v>
      </c>
      <c r="D23" s="248">
        <v>20</v>
      </c>
      <c r="E23" s="244">
        <v>25</v>
      </c>
      <c r="F23" s="72" t="s">
        <v>65</v>
      </c>
      <c r="G23" s="62" t="s">
        <v>341</v>
      </c>
      <c r="H23" s="142">
        <f>C23*('13. Pro-forma Costs'!$I$38+'13. Pro-forma Costs'!$I$24+'13. Pro-forma Costs'!$I$38)</f>
        <v>14.887596818181818</v>
      </c>
      <c r="I23" s="142">
        <f>D23*('13. Pro-forma Costs'!$I$38+'13. Pro-forma Costs'!$I$24+'13. Pro-forma Costs'!$I$38)</f>
        <v>19.850129090909089</v>
      </c>
      <c r="J23" s="142">
        <f>E23*('13. Pro-forma Costs'!$I$38+'13. Pro-forma Costs'!$I$24+'13. Pro-forma Costs'!$I$38)</f>
        <v>24.812661363636362</v>
      </c>
    </row>
    <row r="24" spans="1:10" s="202" customFormat="1" ht="13.5" thickTop="1" x14ac:dyDescent="0.2">
      <c r="A24" s="202" t="s">
        <v>305</v>
      </c>
      <c r="B24" s="206">
        <f>COUNTA(B16:B23)</f>
        <v>8</v>
      </c>
      <c r="C24" s="206"/>
      <c r="D24" s="206"/>
      <c r="E24" s="206"/>
      <c r="G24" s="206"/>
      <c r="H24" s="207">
        <f>SUM(H16:H23)</f>
        <v>206.60357467171718</v>
      </c>
      <c r="I24" s="207">
        <f t="shared" ref="I24:J24" si="2">SUM(I16:I23)</f>
        <v>315.084166010101</v>
      </c>
      <c r="J24" s="207">
        <f t="shared" si="2"/>
        <v>428.52728962121216</v>
      </c>
    </row>
    <row r="25" spans="1:10" s="48" customFormat="1" x14ac:dyDescent="0.2">
      <c r="C25" s="49"/>
      <c r="D25" s="50"/>
      <c r="E25" s="49"/>
      <c r="G25" s="49"/>
      <c r="H25" s="141"/>
      <c r="I25" s="141"/>
      <c r="J25" s="141"/>
    </row>
    <row r="26" spans="1:10" s="48" customFormat="1" x14ac:dyDescent="0.2">
      <c r="A26" s="71" t="s">
        <v>167</v>
      </c>
      <c r="B26" s="71" t="s">
        <v>86</v>
      </c>
      <c r="C26" s="242">
        <v>60</v>
      </c>
      <c r="D26" s="245">
        <v>90</v>
      </c>
      <c r="E26" s="242">
        <v>120</v>
      </c>
      <c r="F26" s="71" t="s">
        <v>63</v>
      </c>
      <c r="G26" s="68" t="s">
        <v>125</v>
      </c>
      <c r="H26" s="140">
        <f>'13. Pro-forma Costs'!$I$38*C26</f>
        <v>18.722466969696971</v>
      </c>
      <c r="I26" s="140">
        <f>'13. Pro-forma Costs'!$I$38*D26</f>
        <v>28.083700454545454</v>
      </c>
      <c r="J26" s="140">
        <f>'13. Pro-forma Costs'!$I$38*E26</f>
        <v>37.444933939393941</v>
      </c>
    </row>
    <row r="27" spans="1:10" s="48" customFormat="1" x14ac:dyDescent="0.2">
      <c r="A27" s="48" t="s">
        <v>167</v>
      </c>
      <c r="B27" s="48" t="s">
        <v>158</v>
      </c>
      <c r="C27" s="243">
        <v>60</v>
      </c>
      <c r="D27" s="246">
        <v>120</v>
      </c>
      <c r="E27" s="243">
        <v>180</v>
      </c>
      <c r="F27" s="48" t="s">
        <v>63</v>
      </c>
      <c r="G27" s="49" t="s">
        <v>125</v>
      </c>
      <c r="H27" s="141">
        <f>'13. Pro-forma Costs'!$I$38*C27</f>
        <v>18.722466969696971</v>
      </c>
      <c r="I27" s="141">
        <f>'13. Pro-forma Costs'!$I$38*D27</f>
        <v>37.444933939393941</v>
      </c>
      <c r="J27" s="141">
        <f>'13. Pro-forma Costs'!$I$38*E27</f>
        <v>56.167400909090908</v>
      </c>
    </row>
    <row r="28" spans="1:10" s="48" customFormat="1" x14ac:dyDescent="0.2">
      <c r="A28" s="48" t="s">
        <v>167</v>
      </c>
      <c r="B28" s="48" t="s">
        <v>90</v>
      </c>
      <c r="C28" s="243">
        <v>20</v>
      </c>
      <c r="D28" s="246">
        <v>30</v>
      </c>
      <c r="E28" s="243">
        <v>40</v>
      </c>
      <c r="F28" s="48" t="s">
        <v>63</v>
      </c>
      <c r="G28" s="49" t="s">
        <v>125</v>
      </c>
      <c r="H28" s="141">
        <f>'13. Pro-forma Costs'!$I$38*C28</f>
        <v>6.2408223232323232</v>
      </c>
      <c r="I28" s="141">
        <f>'13. Pro-forma Costs'!$I$38*D28</f>
        <v>9.3612334848484853</v>
      </c>
      <c r="J28" s="141">
        <f>'13. Pro-forma Costs'!$I$38*E28</f>
        <v>12.481644646464646</v>
      </c>
    </row>
    <row r="29" spans="1:10" s="48" customFormat="1" x14ac:dyDescent="0.2">
      <c r="A29" s="48" t="s">
        <v>167</v>
      </c>
      <c r="B29" s="48" t="s">
        <v>68</v>
      </c>
      <c r="C29" s="243">
        <v>60</v>
      </c>
      <c r="D29" s="246">
        <v>90</v>
      </c>
      <c r="E29" s="243">
        <v>120</v>
      </c>
      <c r="F29" s="48" t="s">
        <v>63</v>
      </c>
      <c r="G29" s="49" t="s">
        <v>341</v>
      </c>
      <c r="H29" s="141">
        <f>C29*('13. Pro-forma Costs'!$I$38+'13. Pro-forma Costs'!$I$24+'13. Pro-forma Costs'!$I$38)</f>
        <v>59.550387272727271</v>
      </c>
      <c r="I29" s="141">
        <f>D29*('13. Pro-forma Costs'!$I$38+'13. Pro-forma Costs'!$I$24+'13. Pro-forma Costs'!$I$38)</f>
        <v>89.325580909090903</v>
      </c>
      <c r="J29" s="141">
        <f>E29*('13. Pro-forma Costs'!$I$38+'13. Pro-forma Costs'!$I$24+'13. Pro-forma Costs'!$I$38)</f>
        <v>119.10077454545454</v>
      </c>
    </row>
    <row r="30" spans="1:10" s="48" customFormat="1" x14ac:dyDescent="0.2">
      <c r="A30" s="48" t="s">
        <v>167</v>
      </c>
      <c r="B30" s="48" t="s">
        <v>66</v>
      </c>
      <c r="C30" s="243">
        <v>30</v>
      </c>
      <c r="D30" s="246">
        <v>60</v>
      </c>
      <c r="E30" s="243">
        <v>90</v>
      </c>
      <c r="F30" s="48" t="s">
        <v>63</v>
      </c>
      <c r="G30" s="49" t="s">
        <v>125</v>
      </c>
      <c r="H30" s="141">
        <f>'13. Pro-forma Costs'!$I$38*C30</f>
        <v>9.3612334848484853</v>
      </c>
      <c r="I30" s="141">
        <f>'13. Pro-forma Costs'!$I$38*D30</f>
        <v>18.722466969696971</v>
      </c>
      <c r="J30" s="141">
        <f>'13. Pro-forma Costs'!$I$38*E30</f>
        <v>28.083700454545454</v>
      </c>
    </row>
    <row r="31" spans="1:10" s="48" customFormat="1" ht="13.5" thickBot="1" x14ac:dyDescent="0.25">
      <c r="A31" s="72" t="s">
        <v>167</v>
      </c>
      <c r="B31" s="72" t="s">
        <v>67</v>
      </c>
      <c r="C31" s="244">
        <v>20</v>
      </c>
      <c r="D31" s="248">
        <v>30</v>
      </c>
      <c r="E31" s="244">
        <v>40</v>
      </c>
      <c r="F31" s="72" t="s">
        <v>65</v>
      </c>
      <c r="G31" s="62" t="s">
        <v>341</v>
      </c>
      <c r="H31" s="142">
        <f>C31*('13. Pro-forma Costs'!$I$38+'13. Pro-forma Costs'!$I$24+'13. Pro-forma Costs'!$I$38)</f>
        <v>19.850129090909089</v>
      </c>
      <c r="I31" s="142">
        <f>D31*('13. Pro-forma Costs'!$I$38+'13. Pro-forma Costs'!$I$24+'13. Pro-forma Costs'!$I$38)</f>
        <v>29.775193636363635</v>
      </c>
      <c r="J31" s="142">
        <f>E31*('13. Pro-forma Costs'!$I$38+'13. Pro-forma Costs'!$I$24+'13. Pro-forma Costs'!$I$38)</f>
        <v>39.700258181818178</v>
      </c>
    </row>
    <row r="32" spans="1:10" s="201" customFormat="1" ht="13.5" thickTop="1" x14ac:dyDescent="0.2">
      <c r="A32" s="201" t="s">
        <v>305</v>
      </c>
      <c r="B32" s="148">
        <f>COUNTA(B26:B31)</f>
        <v>6</v>
      </c>
      <c r="C32" s="148"/>
      <c r="D32" s="148"/>
      <c r="E32" s="148"/>
      <c r="G32" s="148"/>
      <c r="H32" s="207">
        <f>SUM(H26:H31)</f>
        <v>132.4475061111111</v>
      </c>
      <c r="I32" s="207">
        <f t="shared" ref="I32:J32" si="3">SUM(I26:I31)</f>
        <v>212.71310939393939</v>
      </c>
      <c r="J32" s="207">
        <f t="shared" si="3"/>
        <v>292.97871267676766</v>
      </c>
    </row>
    <row r="33" spans="1:10" s="48" customFormat="1" x14ac:dyDescent="0.2">
      <c r="C33" s="49"/>
      <c r="D33" s="50"/>
      <c r="E33" s="49"/>
      <c r="G33" s="49"/>
      <c r="H33" s="141"/>
      <c r="I33" s="141"/>
      <c r="J33" s="141"/>
    </row>
    <row r="34" spans="1:10" x14ac:dyDescent="0.2">
      <c r="A34" s="71" t="s">
        <v>208</v>
      </c>
      <c r="B34" s="71" t="s">
        <v>69</v>
      </c>
      <c r="C34" s="242">
        <v>30</v>
      </c>
      <c r="D34" s="245">
        <v>45</v>
      </c>
      <c r="E34" s="242">
        <v>60</v>
      </c>
      <c r="F34" s="71" t="s">
        <v>70</v>
      </c>
      <c r="G34" s="68" t="s">
        <v>121</v>
      </c>
      <c r="H34" s="140">
        <f>C34*'13. Pro-forma Costs'!$I$21</f>
        <v>12.012021818181816</v>
      </c>
      <c r="I34" s="140">
        <f>D34*'13. Pro-forma Costs'!$I$21</f>
        <v>18.018032727272722</v>
      </c>
      <c r="J34" s="140">
        <f>E34*'13. Pro-forma Costs'!$I$21</f>
        <v>24.024043636363633</v>
      </c>
    </row>
    <row r="35" spans="1:10" x14ac:dyDescent="0.2">
      <c r="A35" s="48" t="s">
        <v>208</v>
      </c>
      <c r="B35" s="48" t="s">
        <v>72</v>
      </c>
      <c r="C35" s="243">
        <v>5</v>
      </c>
      <c r="D35" s="246">
        <v>10</v>
      </c>
      <c r="E35" s="243">
        <v>15</v>
      </c>
      <c r="F35" s="48" t="s">
        <v>70</v>
      </c>
      <c r="G35" s="49" t="s">
        <v>121</v>
      </c>
      <c r="H35" s="141">
        <f>C35*'13. Pro-forma Costs'!$I$21</f>
        <v>2.0020036363636358</v>
      </c>
      <c r="I35" s="141">
        <f>D35*'13. Pro-forma Costs'!$I$21</f>
        <v>4.0040072727272715</v>
      </c>
      <c r="J35" s="141">
        <f>E35*'13. Pro-forma Costs'!$I$21</f>
        <v>6.0060109090909082</v>
      </c>
    </row>
    <row r="36" spans="1:10" x14ac:dyDescent="0.2">
      <c r="A36" s="48" t="s">
        <v>208</v>
      </c>
      <c r="B36" s="48" t="s">
        <v>73</v>
      </c>
      <c r="C36" s="243">
        <v>30</v>
      </c>
      <c r="D36" s="246">
        <v>45</v>
      </c>
      <c r="E36" s="243">
        <v>60</v>
      </c>
      <c r="F36" s="48" t="s">
        <v>70</v>
      </c>
      <c r="G36" s="49" t="s">
        <v>121</v>
      </c>
      <c r="H36" s="141">
        <f>C36*'13. Pro-forma Costs'!$I$21</f>
        <v>12.012021818181816</v>
      </c>
      <c r="I36" s="141">
        <f>D36*'13. Pro-forma Costs'!$I$21</f>
        <v>18.018032727272722</v>
      </c>
      <c r="J36" s="141">
        <f>E36*'13. Pro-forma Costs'!$I$21</f>
        <v>24.024043636363633</v>
      </c>
    </row>
    <row r="37" spans="1:10" x14ac:dyDescent="0.2">
      <c r="A37" s="48" t="s">
        <v>208</v>
      </c>
      <c r="B37" s="48" t="s">
        <v>71</v>
      </c>
      <c r="C37" s="243">
        <v>15</v>
      </c>
      <c r="D37" s="246">
        <v>30</v>
      </c>
      <c r="E37" s="243">
        <v>45</v>
      </c>
      <c r="F37" s="48" t="s">
        <v>74</v>
      </c>
      <c r="G37" s="49" t="s">
        <v>343</v>
      </c>
      <c r="H37" s="141">
        <f>C37*('13. Pro-forma Costs'!$I$8+'13. Pro-forma Costs'!$I$21+'13. Pro-forma Costs'!$I$38+'13. Pro-forma Costs'!$I$38+'13. Pro-forma Costs'!$I$32)</f>
        <v>31.834757727272724</v>
      </c>
      <c r="I37" s="141">
        <f>D37*('13. Pro-forma Costs'!$I$8+'13. Pro-forma Costs'!$I$21+'13. Pro-forma Costs'!$I$38+'13. Pro-forma Costs'!$I$38+'13. Pro-forma Costs'!$I$32)</f>
        <v>63.669515454545447</v>
      </c>
      <c r="J37" s="141">
        <f>E37*('13. Pro-forma Costs'!$I$8+'13. Pro-forma Costs'!$I$21+'13. Pro-forma Costs'!$I$38+'13. Pro-forma Costs'!$I$38+'13. Pro-forma Costs'!$I$32)</f>
        <v>95.504273181818178</v>
      </c>
    </row>
    <row r="38" spans="1:10" x14ac:dyDescent="0.2">
      <c r="A38" s="48" t="s">
        <v>208</v>
      </c>
      <c r="B38" s="48" t="s">
        <v>75</v>
      </c>
      <c r="C38" s="243">
        <v>15</v>
      </c>
      <c r="D38" s="246">
        <v>30</v>
      </c>
      <c r="E38" s="243">
        <v>45</v>
      </c>
      <c r="F38" s="48" t="s">
        <v>70</v>
      </c>
      <c r="G38" s="49" t="s">
        <v>121</v>
      </c>
      <c r="H38" s="141">
        <f>C38*'13. Pro-forma Costs'!$I$21</f>
        <v>6.0060109090909082</v>
      </c>
      <c r="I38" s="141">
        <f>D38*'13. Pro-forma Costs'!$I$21</f>
        <v>12.012021818181816</v>
      </c>
      <c r="J38" s="141">
        <f>E38*'13. Pro-forma Costs'!$I$21</f>
        <v>18.018032727272722</v>
      </c>
    </row>
    <row r="39" spans="1:10" s="48" customFormat="1" ht="13.5" thickBot="1" x14ac:dyDescent="0.25">
      <c r="A39" s="72" t="s">
        <v>208</v>
      </c>
      <c r="B39" s="72" t="s">
        <v>76</v>
      </c>
      <c r="C39" s="244">
        <v>5</v>
      </c>
      <c r="D39" s="248">
        <v>10</v>
      </c>
      <c r="E39" s="244">
        <v>15</v>
      </c>
      <c r="F39" s="72" t="s">
        <v>77</v>
      </c>
      <c r="G39" s="62" t="s">
        <v>99</v>
      </c>
      <c r="H39" s="142">
        <f>C39*'13. Pro-forma Costs'!$I$2</f>
        <v>14.260213863636366</v>
      </c>
      <c r="I39" s="142">
        <f>D39*'13. Pro-forma Costs'!$I$2</f>
        <v>28.520427727272732</v>
      </c>
      <c r="J39" s="142">
        <f>E39*'13. Pro-forma Costs'!$I$2</f>
        <v>42.780641590909099</v>
      </c>
    </row>
    <row r="40" spans="1:10" s="202" customFormat="1" ht="13.5" thickTop="1" x14ac:dyDescent="0.2">
      <c r="A40" s="202" t="s">
        <v>305</v>
      </c>
      <c r="B40" s="206">
        <f>COUNTA(B34:B39)</f>
        <v>6</v>
      </c>
      <c r="C40" s="206"/>
      <c r="D40" s="206"/>
      <c r="E40" s="206"/>
      <c r="G40" s="206"/>
      <c r="H40" s="215">
        <f t="shared" ref="H40:J40" si="4">SUM(H34:H39)</f>
        <v>78.127029772727269</v>
      </c>
      <c r="I40" s="215">
        <f t="shared" si="4"/>
        <v>144.2420377272727</v>
      </c>
      <c r="J40" s="215">
        <f t="shared" si="4"/>
        <v>210.35704568181819</v>
      </c>
    </row>
    <row r="41" spans="1:10" s="48" customFormat="1" x14ac:dyDescent="0.2">
      <c r="C41" s="49"/>
      <c r="D41" s="50"/>
      <c r="E41" s="49"/>
      <c r="G41" s="49"/>
      <c r="H41" s="141"/>
      <c r="I41" s="141"/>
      <c r="J41" s="141"/>
    </row>
    <row r="42" spans="1:10" s="48" customFormat="1" ht="13.5" thickBot="1" x14ac:dyDescent="0.25">
      <c r="A42" s="76" t="s">
        <v>80</v>
      </c>
      <c r="B42" s="76" t="s">
        <v>78</v>
      </c>
      <c r="C42" s="253">
        <v>45</v>
      </c>
      <c r="D42" s="254">
        <v>60</v>
      </c>
      <c r="E42" s="253">
        <v>90</v>
      </c>
      <c r="F42" s="76" t="s">
        <v>79</v>
      </c>
      <c r="G42" s="77" t="s">
        <v>125</v>
      </c>
      <c r="H42" s="149">
        <f>'13. Pro-forma Costs'!$I$38*C42</f>
        <v>14.041850227272727</v>
      </c>
      <c r="I42" s="149">
        <f>'13. Pro-forma Costs'!$I$38*D42</f>
        <v>18.722466969696971</v>
      </c>
      <c r="J42" s="149">
        <f>'13. Pro-forma Costs'!$I$38*E42</f>
        <v>28.083700454545454</v>
      </c>
    </row>
    <row r="43" spans="1:10" s="202" customFormat="1" ht="13.5" thickTop="1" x14ac:dyDescent="0.2">
      <c r="A43" s="202" t="s">
        <v>305</v>
      </c>
      <c r="B43" s="206">
        <f>COUNTA(B42)</f>
        <v>1</v>
      </c>
      <c r="C43" s="206"/>
      <c r="D43" s="206"/>
      <c r="E43" s="206"/>
      <c r="G43" s="206"/>
      <c r="H43" s="214">
        <f t="shared" ref="H43:J43" si="5">SUM(H42)</f>
        <v>14.041850227272727</v>
      </c>
      <c r="I43" s="214">
        <f t="shared" si="5"/>
        <v>18.722466969696971</v>
      </c>
      <c r="J43" s="214">
        <f t="shared" si="5"/>
        <v>28.083700454545454</v>
      </c>
    </row>
    <row r="44" spans="1:10" s="48" customFormat="1" x14ac:dyDescent="0.2">
      <c r="C44" s="49"/>
      <c r="D44" s="50"/>
      <c r="E44" s="49"/>
      <c r="G44" s="49"/>
      <c r="H44" s="141"/>
      <c r="I44" s="141"/>
      <c r="J44" s="141"/>
    </row>
    <row r="45" spans="1:10" x14ac:dyDescent="0.2">
      <c r="A45" s="71" t="s">
        <v>82</v>
      </c>
      <c r="B45" s="71" t="s">
        <v>81</v>
      </c>
      <c r="C45" s="242">
        <v>30</v>
      </c>
      <c r="D45" s="245">
        <v>45</v>
      </c>
      <c r="E45" s="242">
        <v>60</v>
      </c>
      <c r="F45" s="71" t="s">
        <v>79</v>
      </c>
      <c r="G45" s="68" t="s">
        <v>125</v>
      </c>
      <c r="H45" s="140">
        <f>'13. Pro-forma Costs'!$I$38*C45</f>
        <v>9.3612334848484853</v>
      </c>
      <c r="I45" s="140">
        <f>'13. Pro-forma Costs'!$I$38*D45</f>
        <v>14.041850227272727</v>
      </c>
      <c r="J45" s="140">
        <f>'13. Pro-forma Costs'!$I$38*E45</f>
        <v>18.722466969696971</v>
      </c>
    </row>
    <row r="46" spans="1:10" ht="13.5" thickBot="1" x14ac:dyDescent="0.25">
      <c r="A46" s="72" t="s">
        <v>82</v>
      </c>
      <c r="B46" s="72" t="s">
        <v>303</v>
      </c>
      <c r="C46" s="244">
        <v>5</v>
      </c>
      <c r="D46" s="248">
        <v>10</v>
      </c>
      <c r="E46" s="244">
        <v>16</v>
      </c>
      <c r="F46" s="72" t="s">
        <v>79</v>
      </c>
      <c r="G46" s="62" t="s">
        <v>125</v>
      </c>
      <c r="H46" s="142">
        <f>'13. Pro-forma Costs'!$I$38*C46</f>
        <v>1.5602055808080808</v>
      </c>
      <c r="I46" s="142">
        <f>'13. Pro-forma Costs'!$I$38*D46</f>
        <v>3.1204111616161616</v>
      </c>
      <c r="J46" s="142">
        <f>'13. Pro-forma Costs'!$I$38*E46</f>
        <v>4.9926578585858588</v>
      </c>
    </row>
    <row r="47" spans="1:10" s="208" customFormat="1" ht="13.5" thickTop="1" x14ac:dyDescent="0.2">
      <c r="A47" s="202" t="s">
        <v>305</v>
      </c>
      <c r="B47" s="206">
        <f>COUNTA(B45:B46)</f>
        <v>2</v>
      </c>
      <c r="C47" s="255"/>
      <c r="D47" s="255"/>
      <c r="E47" s="255"/>
      <c r="F47" s="202"/>
      <c r="G47" s="213"/>
      <c r="H47" s="207">
        <f>SUM(H45:H46)</f>
        <v>10.921439065656566</v>
      </c>
      <c r="I47" s="207">
        <f>SUM(I45:I46)</f>
        <v>17.16226138888889</v>
      </c>
      <c r="J47" s="207">
        <f>SUM(J45:J46)</f>
        <v>23.715124828282828</v>
      </c>
    </row>
    <row r="48" spans="1:10" x14ac:dyDescent="0.2">
      <c r="A48" s="48"/>
      <c r="B48" s="48"/>
      <c r="C48" s="49"/>
      <c r="D48" s="50"/>
      <c r="E48" s="49"/>
      <c r="F48" s="48"/>
    </row>
    <row r="49" spans="1:10" x14ac:dyDescent="0.2">
      <c r="A49" s="71" t="s">
        <v>157</v>
      </c>
      <c r="B49" s="71" t="s">
        <v>144</v>
      </c>
      <c r="C49" s="237">
        <v>10</v>
      </c>
      <c r="D49" s="237">
        <v>20</v>
      </c>
      <c r="E49" s="237">
        <v>30</v>
      </c>
      <c r="F49" s="71" t="s">
        <v>63</v>
      </c>
      <c r="G49" s="68" t="s">
        <v>125</v>
      </c>
      <c r="H49" s="140">
        <f>'13. Pro-forma Costs'!$I$38*C49</f>
        <v>3.1204111616161616</v>
      </c>
      <c r="I49" s="140">
        <f>'13. Pro-forma Costs'!$I$38*D49</f>
        <v>6.2408223232323232</v>
      </c>
      <c r="J49" s="140">
        <f>'13. Pro-forma Costs'!$I$38*E49</f>
        <v>9.3612334848484853</v>
      </c>
    </row>
    <row r="50" spans="1:10" x14ac:dyDescent="0.2">
      <c r="A50" s="48" t="s">
        <v>157</v>
      </c>
      <c r="B50" s="48" t="s">
        <v>145</v>
      </c>
      <c r="C50" s="243">
        <v>20</v>
      </c>
      <c r="D50" s="243">
        <v>30</v>
      </c>
      <c r="E50" s="243">
        <v>40</v>
      </c>
      <c r="F50" s="48" t="s">
        <v>63</v>
      </c>
      <c r="G50" s="49" t="s">
        <v>125</v>
      </c>
      <c r="H50" s="141">
        <f>'13. Pro-forma Costs'!$I$38*C50</f>
        <v>6.2408223232323232</v>
      </c>
      <c r="I50" s="141">
        <f>'13. Pro-forma Costs'!$I$38*D50</f>
        <v>9.3612334848484853</v>
      </c>
      <c r="J50" s="141">
        <f>'13. Pro-forma Costs'!$I$38*E50</f>
        <v>12.481644646464646</v>
      </c>
    </row>
    <row r="51" spans="1:10" x14ac:dyDescent="0.2">
      <c r="A51" s="48" t="s">
        <v>157</v>
      </c>
      <c r="B51" s="48" t="s">
        <v>147</v>
      </c>
      <c r="C51" s="243">
        <v>10</v>
      </c>
      <c r="D51" s="243">
        <v>20</v>
      </c>
      <c r="E51" s="243">
        <v>30</v>
      </c>
      <c r="F51" s="48" t="s">
        <v>63</v>
      </c>
      <c r="G51" s="49" t="s">
        <v>125</v>
      </c>
      <c r="H51" s="141">
        <f>'13. Pro-forma Costs'!$I$38*C51</f>
        <v>3.1204111616161616</v>
      </c>
      <c r="I51" s="141">
        <f>'13. Pro-forma Costs'!$I$38*D51</f>
        <v>6.2408223232323232</v>
      </c>
      <c r="J51" s="141">
        <f>'13. Pro-forma Costs'!$I$38*E51</f>
        <v>9.3612334848484853</v>
      </c>
    </row>
    <row r="52" spans="1:10" ht="13.5" thickBot="1" x14ac:dyDescent="0.25">
      <c r="A52" s="72" t="s">
        <v>157</v>
      </c>
      <c r="B52" s="72" t="s">
        <v>146</v>
      </c>
      <c r="C52" s="244">
        <v>10</v>
      </c>
      <c r="D52" s="244">
        <v>20</v>
      </c>
      <c r="E52" s="244">
        <v>30</v>
      </c>
      <c r="F52" s="72" t="s">
        <v>63</v>
      </c>
      <c r="G52" s="62" t="s">
        <v>125</v>
      </c>
      <c r="H52" s="142">
        <f>'13. Pro-forma Costs'!$I$38*C52</f>
        <v>3.1204111616161616</v>
      </c>
      <c r="I52" s="142">
        <f>'13. Pro-forma Costs'!$I$38*D52</f>
        <v>6.2408223232323232</v>
      </c>
      <c r="J52" s="142">
        <f>'13. Pro-forma Costs'!$I$38*E52</f>
        <v>9.3612334848484853</v>
      </c>
    </row>
    <row r="53" spans="1:10" s="208" customFormat="1" ht="13.5" thickTop="1" x14ac:dyDescent="0.2">
      <c r="A53" s="202" t="s">
        <v>305</v>
      </c>
      <c r="B53" s="206">
        <f>COUNTA(B49:B52)</f>
        <v>4</v>
      </c>
      <c r="C53" s="206"/>
      <c r="D53" s="206"/>
      <c r="E53" s="206"/>
      <c r="F53" s="202"/>
      <c r="G53" s="213"/>
      <c r="H53" s="207">
        <f>SUM(H49:H52)</f>
        <v>15.602055808080808</v>
      </c>
      <c r="I53" s="207">
        <f t="shared" ref="I53:J53" si="6">SUM(I49:I52)</f>
        <v>28.083700454545454</v>
      </c>
      <c r="J53" s="207">
        <f t="shared" si="6"/>
        <v>40.565345101010102</v>
      </c>
    </row>
    <row r="54" spans="1:10" x14ac:dyDescent="0.2">
      <c r="A54" s="48"/>
      <c r="B54" s="48"/>
      <c r="C54" s="49"/>
      <c r="D54" s="49"/>
      <c r="E54" s="49"/>
      <c r="F54" s="48"/>
    </row>
    <row r="55" spans="1:10" s="48" customFormat="1" x14ac:dyDescent="0.2">
      <c r="A55" s="71" t="s">
        <v>163</v>
      </c>
      <c r="B55" s="71" t="s">
        <v>93</v>
      </c>
      <c r="C55" s="242">
        <v>30</v>
      </c>
      <c r="D55" s="245">
        <v>60</v>
      </c>
      <c r="E55" s="242">
        <v>90</v>
      </c>
      <c r="F55" s="71" t="s">
        <v>63</v>
      </c>
      <c r="G55" s="68" t="s">
        <v>125</v>
      </c>
      <c r="H55" s="140">
        <f>'13. Pro-forma Costs'!$I$38*C55</f>
        <v>9.3612334848484853</v>
      </c>
      <c r="I55" s="140">
        <f>'13. Pro-forma Costs'!$I$38*D55</f>
        <v>18.722466969696971</v>
      </c>
      <c r="J55" s="140">
        <f>'13. Pro-forma Costs'!$I$38*E55</f>
        <v>28.083700454545454</v>
      </c>
    </row>
    <row r="56" spans="1:10" s="48" customFormat="1" x14ac:dyDescent="0.2">
      <c r="A56" s="48" t="s">
        <v>163</v>
      </c>
      <c r="B56" s="51" t="s">
        <v>304</v>
      </c>
      <c r="C56" s="243">
        <v>30</v>
      </c>
      <c r="D56" s="246">
        <v>45</v>
      </c>
      <c r="E56" s="243">
        <v>60</v>
      </c>
      <c r="F56" s="48" t="s">
        <v>63</v>
      </c>
      <c r="G56" s="49" t="s">
        <v>125</v>
      </c>
      <c r="H56" s="141">
        <f>'13. Pro-forma Costs'!$I$38*C56</f>
        <v>9.3612334848484853</v>
      </c>
      <c r="I56" s="141">
        <f>'13. Pro-forma Costs'!$I$38*D56</f>
        <v>14.041850227272727</v>
      </c>
      <c r="J56" s="141">
        <f>'13. Pro-forma Costs'!$I$38*E56</f>
        <v>18.722466969696971</v>
      </c>
    </row>
    <row r="57" spans="1:10" s="48" customFormat="1" x14ac:dyDescent="0.2">
      <c r="A57" s="48" t="s">
        <v>163</v>
      </c>
      <c r="B57" s="48" t="s">
        <v>162</v>
      </c>
      <c r="C57" s="243">
        <v>30</v>
      </c>
      <c r="D57" s="246">
        <v>45</v>
      </c>
      <c r="E57" s="243">
        <v>60</v>
      </c>
      <c r="F57" s="48" t="s">
        <v>63</v>
      </c>
      <c r="G57" s="49" t="s">
        <v>125</v>
      </c>
      <c r="H57" s="141">
        <f>'13. Pro-forma Costs'!$I$38*C57</f>
        <v>9.3612334848484853</v>
      </c>
      <c r="I57" s="141">
        <f>'13. Pro-forma Costs'!$I$38*D57</f>
        <v>14.041850227272727</v>
      </c>
      <c r="J57" s="141">
        <f>'13. Pro-forma Costs'!$I$38*E57</f>
        <v>18.722466969696971</v>
      </c>
    </row>
    <row r="58" spans="1:10" s="48" customFormat="1" x14ac:dyDescent="0.2">
      <c r="A58" s="48" t="s">
        <v>163</v>
      </c>
      <c r="B58" s="48" t="s">
        <v>161</v>
      </c>
      <c r="C58" s="243">
        <v>10</v>
      </c>
      <c r="D58" s="246">
        <v>20</v>
      </c>
      <c r="E58" s="243">
        <v>30</v>
      </c>
      <c r="F58" s="48" t="s">
        <v>63</v>
      </c>
      <c r="G58" s="49" t="s">
        <v>125</v>
      </c>
      <c r="H58" s="141">
        <f>'13. Pro-forma Costs'!$I$38*C58</f>
        <v>3.1204111616161616</v>
      </c>
      <c r="I58" s="141">
        <f>'13. Pro-forma Costs'!$I$38*D58</f>
        <v>6.2408223232323232</v>
      </c>
      <c r="J58" s="141">
        <f>'13. Pro-forma Costs'!$I$38*E58</f>
        <v>9.3612334848484853</v>
      </c>
    </row>
    <row r="59" spans="1:10" s="48" customFormat="1" ht="13.5" thickBot="1" x14ac:dyDescent="0.25">
      <c r="A59" s="72" t="s">
        <v>163</v>
      </c>
      <c r="B59" s="72" t="s">
        <v>148</v>
      </c>
      <c r="C59" s="244">
        <v>10</v>
      </c>
      <c r="D59" s="244">
        <v>15</v>
      </c>
      <c r="E59" s="244">
        <v>20</v>
      </c>
      <c r="F59" s="72" t="s">
        <v>63</v>
      </c>
      <c r="G59" s="62" t="s">
        <v>125</v>
      </c>
      <c r="H59" s="142">
        <f>'13. Pro-forma Costs'!$I$38*C59</f>
        <v>3.1204111616161616</v>
      </c>
      <c r="I59" s="142">
        <f>'13. Pro-forma Costs'!$I$38*D59</f>
        <v>4.6806167424242426</v>
      </c>
      <c r="J59" s="142">
        <f>'13. Pro-forma Costs'!$I$38*E59</f>
        <v>6.2408223232323232</v>
      </c>
    </row>
    <row r="60" spans="1:10" s="202" customFormat="1" ht="13.5" thickTop="1" x14ac:dyDescent="0.2">
      <c r="A60" s="202" t="s">
        <v>305</v>
      </c>
      <c r="B60" s="206">
        <f>COUNTA(B55:B59)</f>
        <v>5</v>
      </c>
      <c r="C60" s="206"/>
      <c r="D60" s="206"/>
      <c r="E60" s="206"/>
      <c r="G60" s="206"/>
      <c r="H60" s="207">
        <f>SUM(H55:H59)</f>
        <v>34.32452277777778</v>
      </c>
      <c r="I60" s="207">
        <f t="shared" ref="I60:J60" si="7">SUM(I55:I59)</f>
        <v>57.727606489898989</v>
      </c>
      <c r="J60" s="207">
        <f t="shared" si="7"/>
        <v>81.130690202020205</v>
      </c>
    </row>
    <row r="61" spans="1:10" s="48" customFormat="1" x14ac:dyDescent="0.2">
      <c r="C61" s="49"/>
      <c r="D61" s="49"/>
      <c r="E61" s="49"/>
      <c r="G61" s="49"/>
      <c r="H61" s="141"/>
      <c r="I61" s="141"/>
      <c r="J61" s="141"/>
    </row>
    <row r="62" spans="1:10" x14ac:dyDescent="0.2">
      <c r="A62" s="71" t="s">
        <v>204</v>
      </c>
      <c r="B62" s="71" t="s">
        <v>149</v>
      </c>
      <c r="C62" s="237">
        <v>10</v>
      </c>
      <c r="D62" s="237">
        <v>15</v>
      </c>
      <c r="E62" s="237">
        <v>20</v>
      </c>
      <c r="F62" s="71" t="s">
        <v>63</v>
      </c>
      <c r="G62" s="68" t="s">
        <v>125</v>
      </c>
      <c r="H62" s="140">
        <f>'13. Pro-forma Costs'!$I$38*C62</f>
        <v>3.1204111616161616</v>
      </c>
      <c r="I62" s="140">
        <f>'13. Pro-forma Costs'!$I$38*D62</f>
        <v>4.6806167424242426</v>
      </c>
      <c r="J62" s="140">
        <f>'13. Pro-forma Costs'!$I$38*E62</f>
        <v>6.2408223232323232</v>
      </c>
    </row>
    <row r="63" spans="1:10" ht="13.5" thickBot="1" x14ac:dyDescent="0.25">
      <c r="A63" s="72" t="s">
        <v>204</v>
      </c>
      <c r="B63" s="72" t="s">
        <v>150</v>
      </c>
      <c r="C63" s="247">
        <v>10</v>
      </c>
      <c r="D63" s="247">
        <v>15</v>
      </c>
      <c r="E63" s="247">
        <v>20</v>
      </c>
      <c r="F63" s="72" t="s">
        <v>63</v>
      </c>
      <c r="G63" s="62" t="s">
        <v>125</v>
      </c>
      <c r="H63" s="142">
        <f>'13. Pro-forma Costs'!$I$38*C63</f>
        <v>3.1204111616161616</v>
      </c>
      <c r="I63" s="142">
        <f>'13. Pro-forma Costs'!$I$38*D63</f>
        <v>4.6806167424242426</v>
      </c>
      <c r="J63" s="142">
        <f>'13. Pro-forma Costs'!$I$38*E63</f>
        <v>6.2408223232323232</v>
      </c>
    </row>
    <row r="64" spans="1:10" s="73" customFormat="1" ht="13.5" thickTop="1" x14ac:dyDescent="0.2">
      <c r="A64" s="73" t="s">
        <v>305</v>
      </c>
      <c r="B64" s="206">
        <f>COUNTA(B62:B63)</f>
        <v>2</v>
      </c>
      <c r="C64" s="65"/>
      <c r="D64" s="65"/>
      <c r="E64" s="65"/>
      <c r="G64" s="65"/>
      <c r="H64" s="144">
        <f>SUM(H62:H63)</f>
        <v>6.2408223232323232</v>
      </c>
      <c r="I64" s="144">
        <f t="shared" ref="I64:J64" si="8">SUM(I62:I63)</f>
        <v>9.3612334848484853</v>
      </c>
      <c r="J64" s="144">
        <f t="shared" si="8"/>
        <v>12.481644646464646</v>
      </c>
    </row>
  </sheetData>
  <mergeCells count="2">
    <mergeCell ref="C1:E1"/>
    <mergeCell ref="A1:B1"/>
  </mergeCells>
  <pageMargins left="0.7" right="0.7" top="0.75" bottom="0.75" header="0.3" footer="0.3"/>
  <pageSetup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pageSetUpPr fitToPage="1"/>
  </sheetPr>
  <dimension ref="A1:I78"/>
  <sheetViews>
    <sheetView workbookViewId="0"/>
  </sheetViews>
  <sheetFormatPr defaultColWidth="33" defaultRowHeight="17.25" customHeight="1" x14ac:dyDescent="0.2"/>
  <cols>
    <col min="1" max="1" width="29.7109375" style="1" customWidth="1"/>
    <col min="2" max="2" width="14" style="3" customWidth="1"/>
    <col min="3" max="3" width="12.5703125" style="3" customWidth="1"/>
    <col min="4" max="4" width="15" style="3" customWidth="1"/>
    <col min="5" max="5" width="15.140625" style="3" customWidth="1"/>
    <col min="6" max="6" width="15" style="3" customWidth="1"/>
    <col min="7" max="7" width="13.28515625" style="1" customWidth="1"/>
    <col min="8" max="8" width="11.7109375" style="1" customWidth="1"/>
    <col min="9" max="9" width="13.5703125" style="1" customWidth="1"/>
    <col min="10" max="16384" width="33" style="1"/>
  </cols>
  <sheetData>
    <row r="1" spans="1:9" s="23" customFormat="1" ht="17.25" customHeight="1" x14ac:dyDescent="0.2">
      <c r="A1" s="92" t="s">
        <v>95</v>
      </c>
      <c r="B1" s="92" t="s">
        <v>96</v>
      </c>
      <c r="C1" s="92" t="s">
        <v>97</v>
      </c>
      <c r="D1" s="92" t="s">
        <v>98</v>
      </c>
      <c r="E1" s="92" t="s">
        <v>286</v>
      </c>
      <c r="F1" s="92" t="s">
        <v>269</v>
      </c>
      <c r="G1" s="92" t="s">
        <v>297</v>
      </c>
      <c r="H1" s="92" t="s">
        <v>298</v>
      </c>
      <c r="I1" s="92" t="s">
        <v>285</v>
      </c>
    </row>
    <row r="2" spans="1:9" ht="17.25" customHeight="1" x14ac:dyDescent="0.2">
      <c r="A2" s="93" t="s">
        <v>77</v>
      </c>
      <c r="B2" s="39" t="s">
        <v>99</v>
      </c>
      <c r="C2" s="39">
        <v>16300</v>
      </c>
      <c r="D2" s="241">
        <v>268906.89</v>
      </c>
      <c r="E2" s="41">
        <f xml:space="preserve"> D2*'13. Pro-forma Costs'!$C$57</f>
        <v>13445.344500000001</v>
      </c>
      <c r="F2" s="41">
        <f>SUM(D2:E2)</f>
        <v>282352.23450000002</v>
      </c>
      <c r="G2" s="41">
        <f>F2/220</f>
        <v>1283.4192477272729</v>
      </c>
      <c r="H2" s="42">
        <f>G2/7.5</f>
        <v>171.12256636363639</v>
      </c>
      <c r="I2" s="156">
        <f>H2/60</f>
        <v>2.8520427727272732</v>
      </c>
    </row>
    <row r="3" spans="1:9" ht="17.25" customHeight="1" x14ac:dyDescent="0.2">
      <c r="A3" s="93" t="s">
        <v>100</v>
      </c>
      <c r="B3" s="39" t="s">
        <v>101</v>
      </c>
      <c r="C3" s="39">
        <v>2300</v>
      </c>
      <c r="D3" s="241">
        <v>265302.82</v>
      </c>
      <c r="E3" s="41">
        <f xml:space="preserve"> D3*'13. Pro-forma Costs'!$C$57</f>
        <v>13265.141000000001</v>
      </c>
      <c r="F3" s="41">
        <f>SUM(D3:E3)</f>
        <v>278567.96100000001</v>
      </c>
      <c r="G3" s="41">
        <f t="shared" ref="G3:G50" si="0">F3/220</f>
        <v>1266.2180045454545</v>
      </c>
      <c r="H3" s="42">
        <f t="shared" ref="H3:H50" si="1">G3/7.5</f>
        <v>168.82906727272726</v>
      </c>
      <c r="I3" s="156">
        <f t="shared" ref="I3:I50" si="2">H3/60</f>
        <v>2.8138177878787878</v>
      </c>
    </row>
    <row r="4" spans="1:9" ht="17.25" customHeight="1" x14ac:dyDescent="0.2">
      <c r="A4" s="93" t="s">
        <v>102</v>
      </c>
      <c r="B4" s="39" t="s">
        <v>103</v>
      </c>
      <c r="C4" s="39">
        <v>2300</v>
      </c>
      <c r="D4" s="241">
        <v>216275.53</v>
      </c>
      <c r="E4" s="41">
        <f>D4*'13. Pro-forma Costs'!$C$58</f>
        <v>10813.7765</v>
      </c>
      <c r="F4" s="41">
        <f t="shared" ref="F4:F50" si="3">SUM(D4:E4)</f>
        <v>227089.30650000001</v>
      </c>
      <c r="G4" s="41">
        <f t="shared" si="0"/>
        <v>1032.2241204545455</v>
      </c>
      <c r="H4" s="42">
        <f t="shared" si="1"/>
        <v>137.62988272727273</v>
      </c>
      <c r="I4" s="156">
        <f t="shared" si="2"/>
        <v>2.2938313787878788</v>
      </c>
    </row>
    <row r="5" spans="1:9" ht="17.25" customHeight="1" x14ac:dyDescent="0.2">
      <c r="A5" s="93" t="s">
        <v>104</v>
      </c>
      <c r="B5" s="39" t="s">
        <v>105</v>
      </c>
      <c r="C5" s="39">
        <v>68100</v>
      </c>
      <c r="D5" s="241">
        <v>205369.06</v>
      </c>
      <c r="E5" s="41">
        <f>D5*'13. Pro-forma Costs'!$C$58</f>
        <v>10268.453000000001</v>
      </c>
      <c r="F5" s="41">
        <f t="shared" si="3"/>
        <v>215637.51300000001</v>
      </c>
      <c r="G5" s="41">
        <f t="shared" si="0"/>
        <v>980.17051363636369</v>
      </c>
      <c r="H5" s="42">
        <f t="shared" si="1"/>
        <v>130.68940181818184</v>
      </c>
      <c r="I5" s="156">
        <f t="shared" si="2"/>
        <v>2.178156696969697</v>
      </c>
    </row>
    <row r="6" spans="1:9" ht="17.25" customHeight="1" x14ac:dyDescent="0.2">
      <c r="A6" s="93" t="s">
        <v>106</v>
      </c>
      <c r="B6" s="39" t="s">
        <v>107</v>
      </c>
      <c r="C6" s="39">
        <v>2300</v>
      </c>
      <c r="D6" s="241">
        <v>188939.53</v>
      </c>
      <c r="E6" s="41">
        <f>D6*'13. Pro-forma Costs'!$C$58</f>
        <v>9446.9765000000007</v>
      </c>
      <c r="F6" s="41">
        <f t="shared" si="3"/>
        <v>198386.50649999999</v>
      </c>
      <c r="G6" s="41">
        <f t="shared" si="0"/>
        <v>901.75684772727266</v>
      </c>
      <c r="H6" s="42">
        <f t="shared" si="1"/>
        <v>120.23424636363636</v>
      </c>
      <c r="I6" s="156">
        <f t="shared" si="2"/>
        <v>2.003904106060606</v>
      </c>
    </row>
    <row r="7" spans="1:9" ht="17.25" customHeight="1" x14ac:dyDescent="0.2">
      <c r="A7" s="93" t="s">
        <v>108</v>
      </c>
      <c r="B7" s="39" t="s">
        <v>109</v>
      </c>
      <c r="C7" s="39">
        <v>2300</v>
      </c>
      <c r="D7" s="241">
        <v>69402.490000000005</v>
      </c>
      <c r="E7" s="41">
        <f>D7*'13. Pro-forma Costs'!$C$59</f>
        <v>6940.2490000000007</v>
      </c>
      <c r="F7" s="41">
        <f t="shared" si="3"/>
        <v>76342.739000000001</v>
      </c>
      <c r="G7" s="41">
        <f t="shared" si="0"/>
        <v>347.01245</v>
      </c>
      <c r="H7" s="42">
        <f t="shared" si="1"/>
        <v>46.268326666666667</v>
      </c>
      <c r="I7" s="156">
        <f t="shared" si="2"/>
        <v>0.77113877777777773</v>
      </c>
    </row>
    <row r="8" spans="1:9" ht="17.25" customHeight="1" x14ac:dyDescent="0.2">
      <c r="A8" s="93" t="s">
        <v>21</v>
      </c>
      <c r="B8" s="39" t="s">
        <v>110</v>
      </c>
      <c r="C8" s="39">
        <v>4130</v>
      </c>
      <c r="D8" s="241">
        <v>65646.899999999994</v>
      </c>
      <c r="E8" s="41">
        <f>D8*'13. Pro-forma Costs'!$C$59</f>
        <v>6564.69</v>
      </c>
      <c r="F8" s="41">
        <f t="shared" si="3"/>
        <v>72211.59</v>
      </c>
      <c r="G8" s="41">
        <f t="shared" si="0"/>
        <v>328.23449999999997</v>
      </c>
      <c r="H8" s="42">
        <f t="shared" si="1"/>
        <v>43.764599999999994</v>
      </c>
      <c r="I8" s="156">
        <f t="shared" si="2"/>
        <v>0.72940999999999989</v>
      </c>
    </row>
    <row r="9" spans="1:9" ht="17.25" customHeight="1" x14ac:dyDescent="0.2">
      <c r="A9" s="93" t="s">
        <v>21</v>
      </c>
      <c r="B9" s="39" t="s">
        <v>110</v>
      </c>
      <c r="C9" s="39">
        <v>11300</v>
      </c>
      <c r="D9" s="241">
        <v>65646.899999999994</v>
      </c>
      <c r="E9" s="41">
        <f>D9*'13. Pro-forma Costs'!$C$59</f>
        <v>6564.69</v>
      </c>
      <c r="F9" s="41">
        <f t="shared" si="3"/>
        <v>72211.59</v>
      </c>
      <c r="G9" s="41">
        <f t="shared" si="0"/>
        <v>328.23449999999997</v>
      </c>
      <c r="H9" s="42">
        <f t="shared" si="1"/>
        <v>43.764599999999994</v>
      </c>
      <c r="I9" s="156">
        <f t="shared" si="2"/>
        <v>0.72940999999999989</v>
      </c>
    </row>
    <row r="10" spans="1:9" ht="17.25" customHeight="1" x14ac:dyDescent="0.2">
      <c r="A10" s="93" t="s">
        <v>111</v>
      </c>
      <c r="B10" s="39" t="s">
        <v>110</v>
      </c>
      <c r="C10" s="39">
        <v>2300</v>
      </c>
      <c r="D10" s="241">
        <v>60349.08</v>
      </c>
      <c r="E10" s="41">
        <f>D10*'13. Pro-forma Costs'!$C$59</f>
        <v>6034.9080000000004</v>
      </c>
      <c r="F10" s="41">
        <f t="shared" si="3"/>
        <v>66383.987999999998</v>
      </c>
      <c r="G10" s="41">
        <f t="shared" si="0"/>
        <v>301.74539999999996</v>
      </c>
      <c r="H10" s="42">
        <f t="shared" si="1"/>
        <v>40.232719999999993</v>
      </c>
      <c r="I10" s="156">
        <f t="shared" si="2"/>
        <v>0.67054533333333322</v>
      </c>
    </row>
    <row r="11" spans="1:9" ht="17.25" customHeight="1" x14ac:dyDescent="0.2">
      <c r="A11" s="93" t="s">
        <v>21</v>
      </c>
      <c r="B11" s="39" t="s">
        <v>110</v>
      </c>
      <c r="C11" s="39">
        <v>2300</v>
      </c>
      <c r="D11" s="241">
        <v>60349.08</v>
      </c>
      <c r="E11" s="41">
        <f>D11*'13. Pro-forma Costs'!$C$59</f>
        <v>6034.9080000000004</v>
      </c>
      <c r="F11" s="41">
        <f t="shared" si="3"/>
        <v>66383.987999999998</v>
      </c>
      <c r="G11" s="41">
        <f t="shared" si="0"/>
        <v>301.74539999999996</v>
      </c>
      <c r="H11" s="42">
        <f t="shared" si="1"/>
        <v>40.232719999999993</v>
      </c>
      <c r="I11" s="156">
        <f t="shared" si="2"/>
        <v>0.67054533333333322</v>
      </c>
    </row>
    <row r="12" spans="1:9" ht="17.25" customHeight="1" x14ac:dyDescent="0.2">
      <c r="A12" s="93" t="s">
        <v>112</v>
      </c>
      <c r="B12" s="39" t="s">
        <v>110</v>
      </c>
      <c r="C12" s="39">
        <v>2300</v>
      </c>
      <c r="D12" s="241">
        <v>60349.08</v>
      </c>
      <c r="E12" s="41">
        <f>D12*'13. Pro-forma Costs'!$C$59</f>
        <v>6034.9080000000004</v>
      </c>
      <c r="F12" s="41">
        <f t="shared" si="3"/>
        <v>66383.987999999998</v>
      </c>
      <c r="G12" s="41">
        <f t="shared" si="0"/>
        <v>301.74539999999996</v>
      </c>
      <c r="H12" s="42">
        <f t="shared" si="1"/>
        <v>40.232719999999993</v>
      </c>
      <c r="I12" s="156">
        <f t="shared" si="2"/>
        <v>0.67054533333333322</v>
      </c>
    </row>
    <row r="13" spans="1:9" ht="17.25" customHeight="1" x14ac:dyDescent="0.2">
      <c r="A13" s="93" t="s">
        <v>23</v>
      </c>
      <c r="B13" s="39" t="s">
        <v>113</v>
      </c>
      <c r="C13" s="39">
        <v>11300</v>
      </c>
      <c r="D13" s="241">
        <v>57082.65</v>
      </c>
      <c r="E13" s="41">
        <f>D13*'13. Pro-forma Costs'!$C$59</f>
        <v>5708.2650000000003</v>
      </c>
      <c r="F13" s="41">
        <f t="shared" si="3"/>
        <v>62790.915000000001</v>
      </c>
      <c r="G13" s="41">
        <f t="shared" si="0"/>
        <v>285.41325000000001</v>
      </c>
      <c r="H13" s="42">
        <f t="shared" si="1"/>
        <v>38.055100000000003</v>
      </c>
      <c r="I13" s="156">
        <f t="shared" si="2"/>
        <v>0.63425166666666677</v>
      </c>
    </row>
    <row r="14" spans="1:9" ht="17.25" customHeight="1" x14ac:dyDescent="0.2">
      <c r="A14" s="93" t="s">
        <v>114</v>
      </c>
      <c r="B14" s="39" t="s">
        <v>113</v>
      </c>
      <c r="C14" s="39">
        <v>70000</v>
      </c>
      <c r="D14" s="241">
        <v>57082.65</v>
      </c>
      <c r="E14" s="41">
        <f>D14*'13. Pro-forma Costs'!$C$59</f>
        <v>5708.2650000000003</v>
      </c>
      <c r="F14" s="41">
        <f t="shared" si="3"/>
        <v>62790.915000000001</v>
      </c>
      <c r="G14" s="41">
        <f t="shared" si="0"/>
        <v>285.41325000000001</v>
      </c>
      <c r="H14" s="42">
        <f t="shared" si="1"/>
        <v>38.055100000000003</v>
      </c>
      <c r="I14" s="156">
        <f t="shared" si="2"/>
        <v>0.63425166666666677</v>
      </c>
    </row>
    <row r="15" spans="1:9" ht="17.25" customHeight="1" x14ac:dyDescent="0.2">
      <c r="A15" s="93" t="s">
        <v>115</v>
      </c>
      <c r="B15" s="39" t="s">
        <v>113</v>
      </c>
      <c r="C15" s="39">
        <v>11300</v>
      </c>
      <c r="D15" s="241">
        <v>57082.65</v>
      </c>
      <c r="E15" s="41">
        <f>D15*'13. Pro-forma Costs'!$C$59</f>
        <v>5708.2650000000003</v>
      </c>
      <c r="F15" s="41">
        <f t="shared" si="3"/>
        <v>62790.915000000001</v>
      </c>
      <c r="G15" s="41">
        <f t="shared" si="0"/>
        <v>285.41325000000001</v>
      </c>
      <c r="H15" s="42">
        <f t="shared" si="1"/>
        <v>38.055100000000003</v>
      </c>
      <c r="I15" s="156">
        <f t="shared" si="2"/>
        <v>0.63425166666666677</v>
      </c>
    </row>
    <row r="16" spans="1:9" ht="17.25" customHeight="1" x14ac:dyDescent="0.2">
      <c r="A16" s="93" t="s">
        <v>116</v>
      </c>
      <c r="B16" s="39" t="s">
        <v>117</v>
      </c>
      <c r="C16" s="39">
        <v>2300</v>
      </c>
      <c r="D16" s="241">
        <v>40451.49</v>
      </c>
      <c r="E16" s="41">
        <f>D16*'13. Pro-forma Costs'!$C$60</f>
        <v>6067.7234999999991</v>
      </c>
      <c r="F16" s="41">
        <f t="shared" si="3"/>
        <v>46519.213499999998</v>
      </c>
      <c r="G16" s="41">
        <f t="shared" si="0"/>
        <v>211.45097045454546</v>
      </c>
      <c r="H16" s="42">
        <f t="shared" si="1"/>
        <v>28.193462727272728</v>
      </c>
      <c r="I16" s="156">
        <f t="shared" si="2"/>
        <v>0.46989104545454546</v>
      </c>
    </row>
    <row r="17" spans="1:9" ht="17.25" customHeight="1" x14ac:dyDescent="0.2">
      <c r="A17" s="93" t="s">
        <v>30</v>
      </c>
      <c r="B17" s="39" t="s">
        <v>117</v>
      </c>
      <c r="C17" s="39">
        <v>2300</v>
      </c>
      <c r="D17" s="241">
        <v>40451.49</v>
      </c>
      <c r="E17" s="41">
        <f>D17*'13. Pro-forma Costs'!$C$60</f>
        <v>6067.7234999999991</v>
      </c>
      <c r="F17" s="41">
        <f t="shared" si="3"/>
        <v>46519.213499999998</v>
      </c>
      <c r="G17" s="41">
        <f t="shared" si="0"/>
        <v>211.45097045454546</v>
      </c>
      <c r="H17" s="42">
        <f t="shared" si="1"/>
        <v>28.193462727272728</v>
      </c>
      <c r="I17" s="156">
        <f t="shared" si="2"/>
        <v>0.46989104545454546</v>
      </c>
    </row>
    <row r="18" spans="1:9" ht="17.25" customHeight="1" x14ac:dyDescent="0.2">
      <c r="A18" s="93" t="s">
        <v>118</v>
      </c>
      <c r="B18" s="39" t="s">
        <v>117</v>
      </c>
      <c r="C18" s="39">
        <v>2300</v>
      </c>
      <c r="D18" s="241">
        <v>40451.49</v>
      </c>
      <c r="E18" s="41">
        <f>D18*'13. Pro-forma Costs'!$C$60</f>
        <v>6067.7234999999991</v>
      </c>
      <c r="F18" s="41">
        <f t="shared" si="3"/>
        <v>46519.213499999998</v>
      </c>
      <c r="G18" s="41">
        <f t="shared" si="0"/>
        <v>211.45097045454546</v>
      </c>
      <c r="H18" s="42">
        <f t="shared" si="1"/>
        <v>28.193462727272728</v>
      </c>
      <c r="I18" s="156">
        <f t="shared" si="2"/>
        <v>0.46989104545454546</v>
      </c>
    </row>
    <row r="19" spans="1:9" ht="17.25" customHeight="1" x14ac:dyDescent="0.2">
      <c r="A19" s="93" t="s">
        <v>119</v>
      </c>
      <c r="B19" s="39" t="s">
        <v>117</v>
      </c>
      <c r="C19" s="39">
        <v>2300</v>
      </c>
      <c r="D19" s="241">
        <v>40451.49</v>
      </c>
      <c r="E19" s="41">
        <f>D19*'13. Pro-forma Costs'!$C$60</f>
        <v>6067.7234999999991</v>
      </c>
      <c r="F19" s="41">
        <f t="shared" si="3"/>
        <v>46519.213499999998</v>
      </c>
      <c r="G19" s="41">
        <f t="shared" si="0"/>
        <v>211.45097045454546</v>
      </c>
      <c r="H19" s="42">
        <f t="shared" si="1"/>
        <v>28.193462727272728</v>
      </c>
      <c r="I19" s="156">
        <f t="shared" si="2"/>
        <v>0.46989104545454546</v>
      </c>
    </row>
    <row r="20" spans="1:9" ht="17.25" customHeight="1" x14ac:dyDescent="0.2">
      <c r="A20" s="93" t="s">
        <v>120</v>
      </c>
      <c r="B20" s="39" t="s">
        <v>121</v>
      </c>
      <c r="C20" s="39">
        <v>68100</v>
      </c>
      <c r="D20" s="241">
        <v>34469.279999999999</v>
      </c>
      <c r="E20" s="41">
        <f>D20*'13. Pro-forma Costs'!$C$60</f>
        <v>5170.3919999999998</v>
      </c>
      <c r="F20" s="41">
        <f t="shared" si="3"/>
        <v>39639.671999999999</v>
      </c>
      <c r="G20" s="41">
        <f t="shared" si="0"/>
        <v>180.18032727272725</v>
      </c>
      <c r="H20" s="42">
        <f t="shared" si="1"/>
        <v>24.024043636363633</v>
      </c>
      <c r="I20" s="156">
        <f t="shared" si="2"/>
        <v>0.40040072727272719</v>
      </c>
    </row>
    <row r="21" spans="1:9" ht="17.25" customHeight="1" x14ac:dyDescent="0.2">
      <c r="A21" s="93" t="s">
        <v>118</v>
      </c>
      <c r="B21" s="39" t="s">
        <v>121</v>
      </c>
      <c r="C21" s="39">
        <v>11300</v>
      </c>
      <c r="D21" s="241">
        <v>34469.279999999999</v>
      </c>
      <c r="E21" s="41">
        <f>D21*'13. Pro-forma Costs'!$C$60</f>
        <v>5170.3919999999998</v>
      </c>
      <c r="F21" s="41">
        <f t="shared" si="3"/>
        <v>39639.671999999999</v>
      </c>
      <c r="G21" s="41">
        <f t="shared" si="0"/>
        <v>180.18032727272725</v>
      </c>
      <c r="H21" s="42">
        <f t="shared" si="1"/>
        <v>24.024043636363633</v>
      </c>
      <c r="I21" s="156">
        <f t="shared" si="2"/>
        <v>0.40040072727272719</v>
      </c>
    </row>
    <row r="22" spans="1:9" ht="17.25" customHeight="1" x14ac:dyDescent="0.2">
      <c r="A22" s="93" t="s">
        <v>119</v>
      </c>
      <c r="B22" s="39" t="s">
        <v>121</v>
      </c>
      <c r="C22" s="39">
        <v>11300</v>
      </c>
      <c r="D22" s="241">
        <v>34469.279999999999</v>
      </c>
      <c r="E22" s="41">
        <f>D22*'13. Pro-forma Costs'!$C$60</f>
        <v>5170.3919999999998</v>
      </c>
      <c r="F22" s="41">
        <f t="shared" si="3"/>
        <v>39639.671999999999</v>
      </c>
      <c r="G22" s="41">
        <f t="shared" si="0"/>
        <v>180.18032727272725</v>
      </c>
      <c r="H22" s="42">
        <f t="shared" si="1"/>
        <v>24.024043636363633</v>
      </c>
      <c r="I22" s="156">
        <f t="shared" si="2"/>
        <v>0.40040072727272719</v>
      </c>
    </row>
    <row r="23" spans="1:9" ht="17.25" customHeight="1" x14ac:dyDescent="0.2">
      <c r="A23" s="93" t="s">
        <v>122</v>
      </c>
      <c r="B23" s="39" t="s">
        <v>121</v>
      </c>
      <c r="C23" s="39">
        <v>2910</v>
      </c>
      <c r="D23" s="241">
        <v>31716.52</v>
      </c>
      <c r="E23" s="41">
        <f>D23*'13. Pro-forma Costs'!$C$60</f>
        <v>4757.4780000000001</v>
      </c>
      <c r="F23" s="41">
        <f t="shared" si="3"/>
        <v>36473.998</v>
      </c>
      <c r="G23" s="41">
        <f t="shared" si="0"/>
        <v>165.79089999999999</v>
      </c>
      <c r="H23" s="42">
        <f t="shared" si="1"/>
        <v>22.105453333333333</v>
      </c>
      <c r="I23" s="156">
        <f t="shared" si="2"/>
        <v>0.36842422222222221</v>
      </c>
    </row>
    <row r="24" spans="1:9" ht="17.25" customHeight="1" x14ac:dyDescent="0.2">
      <c r="A24" s="93" t="s">
        <v>114</v>
      </c>
      <c r="B24" s="39" t="s">
        <v>121</v>
      </c>
      <c r="C24" s="39">
        <v>2300</v>
      </c>
      <c r="D24" s="241">
        <v>31716.52</v>
      </c>
      <c r="E24" s="41">
        <f>D24*'13. Pro-forma Costs'!$C$60</f>
        <v>4757.4780000000001</v>
      </c>
      <c r="F24" s="41">
        <f t="shared" si="3"/>
        <v>36473.998</v>
      </c>
      <c r="G24" s="41">
        <f t="shared" si="0"/>
        <v>165.79089999999999</v>
      </c>
      <c r="H24" s="42">
        <f t="shared" si="1"/>
        <v>22.105453333333333</v>
      </c>
      <c r="I24" s="156">
        <f t="shared" si="2"/>
        <v>0.36842422222222221</v>
      </c>
    </row>
    <row r="25" spans="1:9" ht="17.25" customHeight="1" x14ac:dyDescent="0.2">
      <c r="A25" s="93" t="s">
        <v>118</v>
      </c>
      <c r="B25" s="39" t="s">
        <v>121</v>
      </c>
      <c r="C25" s="39">
        <v>2300</v>
      </c>
      <c r="D25" s="241">
        <v>31716.52</v>
      </c>
      <c r="E25" s="41">
        <f>D25*'13. Pro-forma Costs'!$C$60</f>
        <v>4757.4780000000001</v>
      </c>
      <c r="F25" s="41">
        <f t="shared" si="3"/>
        <v>36473.998</v>
      </c>
      <c r="G25" s="41">
        <f t="shared" si="0"/>
        <v>165.79089999999999</v>
      </c>
      <c r="H25" s="42">
        <f t="shared" si="1"/>
        <v>22.105453333333333</v>
      </c>
      <c r="I25" s="156">
        <f t="shared" si="2"/>
        <v>0.36842422222222221</v>
      </c>
    </row>
    <row r="26" spans="1:9" ht="17.25" customHeight="1" x14ac:dyDescent="0.2">
      <c r="A26" s="93" t="s">
        <v>114</v>
      </c>
      <c r="B26" s="39" t="s">
        <v>121</v>
      </c>
      <c r="C26" s="39">
        <v>2300</v>
      </c>
      <c r="D26" s="241">
        <v>31716.52</v>
      </c>
      <c r="E26" s="41">
        <f>D26*'13. Pro-forma Costs'!$C$60</f>
        <v>4757.4780000000001</v>
      </c>
      <c r="F26" s="41">
        <f t="shared" si="3"/>
        <v>36473.998</v>
      </c>
      <c r="G26" s="41">
        <f t="shared" si="0"/>
        <v>165.79089999999999</v>
      </c>
      <c r="H26" s="42">
        <f t="shared" si="1"/>
        <v>22.105453333333333</v>
      </c>
      <c r="I26" s="156">
        <f t="shared" si="2"/>
        <v>0.36842422222222221</v>
      </c>
    </row>
    <row r="27" spans="1:9" ht="17.25" customHeight="1" x14ac:dyDescent="0.2">
      <c r="A27" s="93" t="s">
        <v>114</v>
      </c>
      <c r="B27" s="39" t="s">
        <v>121</v>
      </c>
      <c r="C27" s="39">
        <v>2300</v>
      </c>
      <c r="D27" s="241">
        <v>31716.52</v>
      </c>
      <c r="E27" s="41">
        <f>D27*'13. Pro-forma Costs'!$C$60</f>
        <v>4757.4780000000001</v>
      </c>
      <c r="F27" s="41">
        <f t="shared" si="3"/>
        <v>36473.998</v>
      </c>
      <c r="G27" s="41">
        <f t="shared" si="0"/>
        <v>165.79089999999999</v>
      </c>
      <c r="H27" s="42">
        <f t="shared" si="1"/>
        <v>22.105453333333333</v>
      </c>
      <c r="I27" s="156">
        <f t="shared" si="2"/>
        <v>0.36842422222222221</v>
      </c>
    </row>
    <row r="28" spans="1:9" ht="17.25" customHeight="1" x14ac:dyDescent="0.2">
      <c r="A28" s="93" t="s">
        <v>118</v>
      </c>
      <c r="B28" s="39" t="s">
        <v>121</v>
      </c>
      <c r="C28" s="39">
        <v>2300</v>
      </c>
      <c r="D28" s="241">
        <v>31716.52</v>
      </c>
      <c r="E28" s="41">
        <f>D28*'13. Pro-forma Costs'!$C$60</f>
        <v>4757.4780000000001</v>
      </c>
      <c r="F28" s="41">
        <f t="shared" si="3"/>
        <v>36473.998</v>
      </c>
      <c r="G28" s="41">
        <f t="shared" si="0"/>
        <v>165.79089999999999</v>
      </c>
      <c r="H28" s="42">
        <f t="shared" si="1"/>
        <v>22.105453333333333</v>
      </c>
      <c r="I28" s="156">
        <f t="shared" si="2"/>
        <v>0.36842422222222221</v>
      </c>
    </row>
    <row r="29" spans="1:9" ht="17.25" customHeight="1" x14ac:dyDescent="0.2">
      <c r="A29" s="93" t="s">
        <v>114</v>
      </c>
      <c r="B29" s="39" t="s">
        <v>121</v>
      </c>
      <c r="C29" s="39">
        <v>2910</v>
      </c>
      <c r="D29" s="241">
        <v>31716.52</v>
      </c>
      <c r="E29" s="41">
        <f>D29*'13. Pro-forma Costs'!$C$60</f>
        <v>4757.4780000000001</v>
      </c>
      <c r="F29" s="41">
        <f t="shared" si="3"/>
        <v>36473.998</v>
      </c>
      <c r="G29" s="41">
        <f t="shared" si="0"/>
        <v>165.79089999999999</v>
      </c>
      <c r="H29" s="42">
        <f t="shared" si="1"/>
        <v>22.105453333333333</v>
      </c>
      <c r="I29" s="156">
        <f t="shared" si="2"/>
        <v>0.36842422222222221</v>
      </c>
    </row>
    <row r="30" spans="1:9" ht="17.25" customHeight="1" x14ac:dyDescent="0.2">
      <c r="A30" s="93" t="s">
        <v>114</v>
      </c>
      <c r="B30" s="39" t="s">
        <v>121</v>
      </c>
      <c r="C30" s="39">
        <v>2300</v>
      </c>
      <c r="D30" s="241">
        <v>31716.52</v>
      </c>
      <c r="E30" s="41">
        <f>D30*'13. Pro-forma Costs'!$C$60</f>
        <v>4757.4780000000001</v>
      </c>
      <c r="F30" s="41">
        <f t="shared" si="3"/>
        <v>36473.998</v>
      </c>
      <c r="G30" s="41">
        <f t="shared" si="0"/>
        <v>165.79089999999999</v>
      </c>
      <c r="H30" s="42">
        <f t="shared" si="1"/>
        <v>22.105453333333333</v>
      </c>
      <c r="I30" s="156">
        <f t="shared" si="2"/>
        <v>0.36842422222222221</v>
      </c>
    </row>
    <row r="31" spans="1:9" ht="17.25" customHeight="1" x14ac:dyDescent="0.2">
      <c r="A31" s="93" t="s">
        <v>123</v>
      </c>
      <c r="B31" s="39" t="s">
        <v>121</v>
      </c>
      <c r="C31" s="39">
        <v>2300</v>
      </c>
      <c r="D31" s="241">
        <v>31716.52</v>
      </c>
      <c r="E31" s="41">
        <f>D31*'13. Pro-forma Costs'!$C$60</f>
        <v>4757.4780000000001</v>
      </c>
      <c r="F31" s="41">
        <f t="shared" si="3"/>
        <v>36473.998</v>
      </c>
      <c r="G31" s="41">
        <f t="shared" si="0"/>
        <v>165.79089999999999</v>
      </c>
      <c r="H31" s="42">
        <f t="shared" si="1"/>
        <v>22.105453333333333</v>
      </c>
      <c r="I31" s="156">
        <f t="shared" si="2"/>
        <v>0.36842422222222221</v>
      </c>
    </row>
    <row r="32" spans="1:9" ht="17.25" customHeight="1" x14ac:dyDescent="0.2">
      <c r="A32" s="93" t="s">
        <v>118</v>
      </c>
      <c r="B32" s="39" t="s">
        <v>121</v>
      </c>
      <c r="C32" s="39">
        <v>2300</v>
      </c>
      <c r="D32" s="241">
        <v>31716.52</v>
      </c>
      <c r="E32" s="41">
        <f>D32*'13. Pro-forma Costs'!$C$60</f>
        <v>4757.4780000000001</v>
      </c>
      <c r="F32" s="41">
        <f t="shared" si="3"/>
        <v>36473.998</v>
      </c>
      <c r="G32" s="41">
        <f t="shared" si="0"/>
        <v>165.79089999999999</v>
      </c>
      <c r="H32" s="42">
        <f t="shared" si="1"/>
        <v>22.105453333333333</v>
      </c>
      <c r="I32" s="156">
        <f t="shared" si="2"/>
        <v>0.36842422222222221</v>
      </c>
    </row>
    <row r="33" spans="1:9" ht="17.25" customHeight="1" x14ac:dyDescent="0.2">
      <c r="A33" s="93" t="s">
        <v>24</v>
      </c>
      <c r="B33" s="39" t="s">
        <v>121</v>
      </c>
      <c r="C33" s="39">
        <v>2300</v>
      </c>
      <c r="D33" s="241">
        <v>31716.52</v>
      </c>
      <c r="E33" s="41">
        <f>D33*'13. Pro-forma Costs'!$C$60</f>
        <v>4757.4780000000001</v>
      </c>
      <c r="F33" s="41">
        <f t="shared" si="3"/>
        <v>36473.998</v>
      </c>
      <c r="G33" s="41">
        <f t="shared" si="0"/>
        <v>165.79089999999999</v>
      </c>
      <c r="H33" s="42">
        <f t="shared" si="1"/>
        <v>22.105453333333333</v>
      </c>
      <c r="I33" s="156">
        <f t="shared" si="2"/>
        <v>0.36842422222222221</v>
      </c>
    </row>
    <row r="34" spans="1:9" ht="17.25" customHeight="1" x14ac:dyDescent="0.2">
      <c r="A34" s="93" t="s">
        <v>124</v>
      </c>
      <c r="B34" s="39" t="s">
        <v>125</v>
      </c>
      <c r="C34" s="39">
        <v>11300</v>
      </c>
      <c r="D34" s="241">
        <v>26862.67</v>
      </c>
      <c r="E34" s="41">
        <f>D34*'13. Pro-forma Costs'!$C$60</f>
        <v>4029.4004999999997</v>
      </c>
      <c r="F34" s="41">
        <f t="shared" si="3"/>
        <v>30892.070499999998</v>
      </c>
      <c r="G34" s="41">
        <f t="shared" si="0"/>
        <v>140.41850227272727</v>
      </c>
      <c r="H34" s="42">
        <f t="shared" si="1"/>
        <v>18.722466969696971</v>
      </c>
      <c r="I34" s="156">
        <f t="shared" si="2"/>
        <v>0.31204111616161617</v>
      </c>
    </row>
    <row r="35" spans="1:9" ht="17.25" customHeight="1" x14ac:dyDescent="0.2">
      <c r="A35" s="93" t="s">
        <v>126</v>
      </c>
      <c r="B35" s="39" t="s">
        <v>125</v>
      </c>
      <c r="C35" s="39">
        <v>70000</v>
      </c>
      <c r="D35" s="241">
        <v>26862.67</v>
      </c>
      <c r="E35" s="41">
        <f>D35*'13. Pro-forma Costs'!$C$60</f>
        <v>4029.4004999999997</v>
      </c>
      <c r="F35" s="41">
        <f t="shared" si="3"/>
        <v>30892.070499999998</v>
      </c>
      <c r="G35" s="41">
        <f t="shared" si="0"/>
        <v>140.41850227272727</v>
      </c>
      <c r="H35" s="42">
        <f t="shared" si="1"/>
        <v>18.722466969696971</v>
      </c>
      <c r="I35" s="156">
        <f t="shared" si="2"/>
        <v>0.31204111616161617</v>
      </c>
    </row>
    <row r="36" spans="1:9" ht="17.25" customHeight="1" x14ac:dyDescent="0.2">
      <c r="A36" s="93" t="s">
        <v>127</v>
      </c>
      <c r="B36" s="39" t="s">
        <v>125</v>
      </c>
      <c r="C36" s="39">
        <v>11300</v>
      </c>
      <c r="D36" s="241">
        <v>26862.67</v>
      </c>
      <c r="E36" s="41">
        <f>D36*'13. Pro-forma Costs'!$C$60</f>
        <v>4029.4004999999997</v>
      </c>
      <c r="F36" s="41">
        <f t="shared" si="3"/>
        <v>30892.070499999998</v>
      </c>
      <c r="G36" s="41">
        <f t="shared" si="0"/>
        <v>140.41850227272727</v>
      </c>
      <c r="H36" s="42">
        <f t="shared" si="1"/>
        <v>18.722466969696971</v>
      </c>
      <c r="I36" s="156">
        <f t="shared" si="2"/>
        <v>0.31204111616161617</v>
      </c>
    </row>
    <row r="37" spans="1:9" ht="17.25" customHeight="1" x14ac:dyDescent="0.2">
      <c r="A37" s="93" t="s">
        <v>128</v>
      </c>
      <c r="B37" s="39" t="s">
        <v>125</v>
      </c>
      <c r="C37" s="39">
        <v>11300</v>
      </c>
      <c r="D37" s="241">
        <v>26862.67</v>
      </c>
      <c r="E37" s="41">
        <f>D37*'13. Pro-forma Costs'!$C$60</f>
        <v>4029.4004999999997</v>
      </c>
      <c r="F37" s="41">
        <f t="shared" si="3"/>
        <v>30892.070499999998</v>
      </c>
      <c r="G37" s="41">
        <f t="shared" si="0"/>
        <v>140.41850227272727</v>
      </c>
      <c r="H37" s="42">
        <f t="shared" si="1"/>
        <v>18.722466969696971</v>
      </c>
      <c r="I37" s="156">
        <f t="shared" si="2"/>
        <v>0.31204111616161617</v>
      </c>
    </row>
    <row r="38" spans="1:9" ht="17.25" customHeight="1" x14ac:dyDescent="0.2">
      <c r="A38" s="93" t="s">
        <v>129</v>
      </c>
      <c r="B38" s="39" t="s">
        <v>125</v>
      </c>
      <c r="C38" s="39">
        <v>11300</v>
      </c>
      <c r="D38" s="241">
        <v>26862.67</v>
      </c>
      <c r="E38" s="41">
        <f>D38*'13. Pro-forma Costs'!$C$60</f>
        <v>4029.4004999999997</v>
      </c>
      <c r="F38" s="41">
        <f t="shared" si="3"/>
        <v>30892.070499999998</v>
      </c>
      <c r="G38" s="41">
        <f t="shared" si="0"/>
        <v>140.41850227272727</v>
      </c>
      <c r="H38" s="42">
        <f t="shared" si="1"/>
        <v>18.722466969696971</v>
      </c>
      <c r="I38" s="156">
        <f t="shared" si="2"/>
        <v>0.31204111616161617</v>
      </c>
    </row>
    <row r="39" spans="1:9" ht="17.25" customHeight="1" x14ac:dyDescent="0.2">
      <c r="A39" s="93" t="s">
        <v>130</v>
      </c>
      <c r="B39" s="39" t="s">
        <v>125</v>
      </c>
      <c r="C39" s="39">
        <v>2300</v>
      </c>
      <c r="D39" s="241">
        <v>24694.81</v>
      </c>
      <c r="E39" s="41">
        <f>D39*'13. Pro-forma Costs'!$C$60</f>
        <v>3704.2215000000001</v>
      </c>
      <c r="F39" s="41">
        <f t="shared" si="3"/>
        <v>28399.031500000001</v>
      </c>
      <c r="G39" s="41">
        <f t="shared" si="0"/>
        <v>129.08650681818182</v>
      </c>
      <c r="H39" s="42">
        <f t="shared" si="1"/>
        <v>17.211534242424243</v>
      </c>
      <c r="I39" s="156">
        <f t="shared" si="2"/>
        <v>0.28685890404040404</v>
      </c>
    </row>
    <row r="40" spans="1:9" ht="17.25" customHeight="1" x14ac:dyDescent="0.2">
      <c r="A40" s="93" t="s">
        <v>129</v>
      </c>
      <c r="B40" s="39" t="s">
        <v>125</v>
      </c>
      <c r="C40" s="39">
        <v>2300</v>
      </c>
      <c r="D40" s="241">
        <v>24694.81</v>
      </c>
      <c r="E40" s="41">
        <f>D40*'13. Pro-forma Costs'!$C$60</f>
        <v>3704.2215000000001</v>
      </c>
      <c r="F40" s="41">
        <f t="shared" si="3"/>
        <v>28399.031500000001</v>
      </c>
      <c r="G40" s="41">
        <f t="shared" si="0"/>
        <v>129.08650681818182</v>
      </c>
      <c r="H40" s="42">
        <f t="shared" si="1"/>
        <v>17.211534242424243</v>
      </c>
      <c r="I40" s="156">
        <f t="shared" si="2"/>
        <v>0.28685890404040404</v>
      </c>
    </row>
    <row r="41" spans="1:9" ht="17.25" customHeight="1" x14ac:dyDescent="0.2">
      <c r="A41" s="93" t="s">
        <v>130</v>
      </c>
      <c r="B41" s="39" t="s">
        <v>125</v>
      </c>
      <c r="C41" s="39">
        <v>2300</v>
      </c>
      <c r="D41" s="241">
        <v>24694.81</v>
      </c>
      <c r="E41" s="41">
        <f>D41*'13. Pro-forma Costs'!$C$60</f>
        <v>3704.2215000000001</v>
      </c>
      <c r="F41" s="41">
        <f t="shared" si="3"/>
        <v>28399.031500000001</v>
      </c>
      <c r="G41" s="41">
        <f t="shared" si="0"/>
        <v>129.08650681818182</v>
      </c>
      <c r="H41" s="42">
        <f t="shared" si="1"/>
        <v>17.211534242424243</v>
      </c>
      <c r="I41" s="156">
        <f t="shared" si="2"/>
        <v>0.28685890404040404</v>
      </c>
    </row>
    <row r="42" spans="1:9" ht="17.25" customHeight="1" x14ac:dyDescent="0.2">
      <c r="A42" s="93" t="s">
        <v>126</v>
      </c>
      <c r="B42" s="39" t="s">
        <v>131</v>
      </c>
      <c r="C42" s="39">
        <v>68100</v>
      </c>
      <c r="D42" s="241">
        <v>21318</v>
      </c>
      <c r="E42" s="41">
        <f>D42*'13. Pro-forma Costs'!$C$60</f>
        <v>3197.7</v>
      </c>
      <c r="F42" s="41">
        <f t="shared" si="3"/>
        <v>24515.7</v>
      </c>
      <c r="G42" s="41">
        <f t="shared" si="0"/>
        <v>111.435</v>
      </c>
      <c r="H42" s="42">
        <f t="shared" si="1"/>
        <v>14.858000000000001</v>
      </c>
      <c r="I42" s="156">
        <f t="shared" si="2"/>
        <v>0.24763333333333334</v>
      </c>
    </row>
    <row r="43" spans="1:9" ht="17.25" customHeight="1" x14ac:dyDescent="0.2">
      <c r="A43" s="93" t="s">
        <v>132</v>
      </c>
      <c r="B43" s="39" t="s">
        <v>133</v>
      </c>
      <c r="C43" s="39">
        <v>11925</v>
      </c>
      <c r="D43" s="241">
        <v>16921.87</v>
      </c>
      <c r="E43" s="41">
        <f>D43*'13. Pro-forma Costs'!$C$61</f>
        <v>846.09349999999995</v>
      </c>
      <c r="F43" s="41">
        <f t="shared" si="3"/>
        <v>17767.963499999998</v>
      </c>
      <c r="G43" s="41">
        <f t="shared" si="0"/>
        <v>80.763470454545441</v>
      </c>
      <c r="H43" s="42">
        <f t="shared" si="1"/>
        <v>10.768462727272725</v>
      </c>
      <c r="I43" s="156">
        <f t="shared" si="2"/>
        <v>0.17947437878787875</v>
      </c>
    </row>
    <row r="44" spans="1:9" ht="17.25" customHeight="1" x14ac:dyDescent="0.2">
      <c r="A44" s="93" t="s">
        <v>134</v>
      </c>
      <c r="B44" s="39" t="s">
        <v>133</v>
      </c>
      <c r="C44" s="39">
        <v>11300</v>
      </c>
      <c r="D44" s="241">
        <v>16921.87</v>
      </c>
      <c r="E44" s="41">
        <f>D44*'13. Pro-forma Costs'!$C$61</f>
        <v>846.09349999999995</v>
      </c>
      <c r="F44" s="41">
        <f t="shared" si="3"/>
        <v>17767.963499999998</v>
      </c>
      <c r="G44" s="41">
        <f t="shared" si="0"/>
        <v>80.763470454545441</v>
      </c>
      <c r="H44" s="42">
        <f t="shared" si="1"/>
        <v>10.768462727272725</v>
      </c>
      <c r="I44" s="156">
        <f t="shared" si="2"/>
        <v>0.17947437878787875</v>
      </c>
    </row>
    <row r="45" spans="1:9" ht="17.25" customHeight="1" x14ac:dyDescent="0.2">
      <c r="A45" s="93" t="s">
        <v>132</v>
      </c>
      <c r="B45" s="39" t="s">
        <v>133</v>
      </c>
      <c r="C45" s="39">
        <v>11925</v>
      </c>
      <c r="D45" s="241">
        <v>16921.87</v>
      </c>
      <c r="E45" s="41">
        <f>D45*'13. Pro-forma Costs'!$C$61</f>
        <v>846.09349999999995</v>
      </c>
      <c r="F45" s="41">
        <f t="shared" si="3"/>
        <v>17767.963499999998</v>
      </c>
      <c r="G45" s="41">
        <f t="shared" si="0"/>
        <v>80.763470454545441</v>
      </c>
      <c r="H45" s="42">
        <f t="shared" si="1"/>
        <v>10.768462727272725</v>
      </c>
      <c r="I45" s="156">
        <f t="shared" si="2"/>
        <v>0.17947437878787875</v>
      </c>
    </row>
    <row r="46" spans="1:9" ht="17.25" customHeight="1" x14ac:dyDescent="0.2">
      <c r="A46" s="93" t="s">
        <v>132</v>
      </c>
      <c r="B46" s="39" t="s">
        <v>133</v>
      </c>
      <c r="C46" s="39">
        <v>11925</v>
      </c>
      <c r="D46" s="241">
        <v>16921.87</v>
      </c>
      <c r="E46" s="41">
        <f>D46*'13. Pro-forma Costs'!$C$61</f>
        <v>846.09349999999995</v>
      </c>
      <c r="F46" s="41">
        <f t="shared" si="3"/>
        <v>17767.963499999998</v>
      </c>
      <c r="G46" s="41">
        <f t="shared" si="0"/>
        <v>80.763470454545441</v>
      </c>
      <c r="H46" s="42">
        <f t="shared" si="1"/>
        <v>10.768462727272725</v>
      </c>
      <c r="I46" s="156">
        <f t="shared" si="2"/>
        <v>0.17947437878787875</v>
      </c>
    </row>
    <row r="47" spans="1:9" ht="17.25" customHeight="1" x14ac:dyDescent="0.2">
      <c r="A47" s="93" t="s">
        <v>135</v>
      </c>
      <c r="B47" s="39" t="s">
        <v>133</v>
      </c>
      <c r="C47" s="39">
        <v>2300</v>
      </c>
      <c r="D47" s="241">
        <v>15556.25</v>
      </c>
      <c r="E47" s="41">
        <f>D47*'13. Pro-forma Costs'!$C$61</f>
        <v>777.8125</v>
      </c>
      <c r="F47" s="41">
        <f t="shared" si="3"/>
        <v>16334.0625</v>
      </c>
      <c r="G47" s="41">
        <f t="shared" si="0"/>
        <v>74.24573863636364</v>
      </c>
      <c r="H47" s="42">
        <f t="shared" si="1"/>
        <v>9.8994318181818191</v>
      </c>
      <c r="I47" s="156">
        <f t="shared" si="2"/>
        <v>0.16499053030303032</v>
      </c>
    </row>
    <row r="48" spans="1:9" ht="17.25" customHeight="1" x14ac:dyDescent="0.2">
      <c r="A48" s="93" t="s">
        <v>136</v>
      </c>
      <c r="B48" s="39" t="s">
        <v>137</v>
      </c>
      <c r="C48" s="39">
        <v>11300</v>
      </c>
      <c r="D48" s="241">
        <v>13533.22</v>
      </c>
      <c r="E48" s="41">
        <f>D48*'13. Pro-forma Costs'!$C$61</f>
        <v>676.66100000000006</v>
      </c>
      <c r="F48" s="41">
        <f t="shared" si="3"/>
        <v>14209.880999999999</v>
      </c>
      <c r="G48" s="41">
        <f t="shared" si="0"/>
        <v>64.590368181818178</v>
      </c>
      <c r="H48" s="42">
        <f t="shared" si="1"/>
        <v>8.6120490909090908</v>
      </c>
      <c r="I48" s="156">
        <f t="shared" si="2"/>
        <v>0.1435341515151515</v>
      </c>
    </row>
    <row r="49" spans="1:9" ht="17.25" customHeight="1" x14ac:dyDescent="0.2">
      <c r="A49" s="93" t="s">
        <v>136</v>
      </c>
      <c r="B49" s="39" t="s">
        <v>137</v>
      </c>
      <c r="C49" s="39">
        <v>11300</v>
      </c>
      <c r="D49" s="241">
        <v>13533.22</v>
      </c>
      <c r="E49" s="41">
        <f>D49*'13. Pro-forma Costs'!$C$61</f>
        <v>676.66100000000006</v>
      </c>
      <c r="F49" s="41">
        <f t="shared" si="3"/>
        <v>14209.880999999999</v>
      </c>
      <c r="G49" s="41">
        <f t="shared" si="0"/>
        <v>64.590368181818178</v>
      </c>
      <c r="H49" s="42">
        <f t="shared" si="1"/>
        <v>8.6120490909090908</v>
      </c>
      <c r="I49" s="156">
        <f t="shared" si="2"/>
        <v>0.1435341515151515</v>
      </c>
    </row>
    <row r="50" spans="1:9" ht="17.25" customHeight="1" x14ac:dyDescent="0.2">
      <c r="A50" s="93" t="s">
        <v>136</v>
      </c>
      <c r="B50" s="39" t="s">
        <v>137</v>
      </c>
      <c r="C50" s="39">
        <v>11300</v>
      </c>
      <c r="D50" s="241">
        <v>13533.22</v>
      </c>
      <c r="E50" s="41">
        <f>D50*'13. Pro-forma Costs'!$C$61</f>
        <v>676.66100000000006</v>
      </c>
      <c r="F50" s="41">
        <f t="shared" si="3"/>
        <v>14209.880999999999</v>
      </c>
      <c r="G50" s="41">
        <f t="shared" si="0"/>
        <v>64.590368181818178</v>
      </c>
      <c r="H50" s="42">
        <f t="shared" si="1"/>
        <v>8.6120490909090908</v>
      </c>
      <c r="I50" s="156">
        <f t="shared" si="2"/>
        <v>0.1435341515151515</v>
      </c>
    </row>
    <row r="51" spans="1:9" ht="17.25" customHeight="1" x14ac:dyDescent="0.2">
      <c r="G51" s="41"/>
      <c r="H51" s="41"/>
      <c r="I51" s="41"/>
    </row>
    <row r="52" spans="1:9" s="38" customFormat="1" ht="17.25" customHeight="1" x14ac:dyDescent="0.2">
      <c r="A52" s="44" t="s">
        <v>283</v>
      </c>
      <c r="B52" s="43"/>
      <c r="C52" s="43"/>
      <c r="D52" s="43"/>
      <c r="E52" s="43"/>
      <c r="F52" s="43"/>
    </row>
    <row r="53" spans="1:9" s="38" customFormat="1" ht="18" customHeight="1" x14ac:dyDescent="0.2">
      <c r="A53" s="403" t="s">
        <v>284</v>
      </c>
      <c r="B53" s="404"/>
      <c r="C53" s="404"/>
      <c r="D53" s="404"/>
      <c r="E53" s="404"/>
      <c r="F53" s="404"/>
      <c r="G53" s="404"/>
      <c r="H53" s="404"/>
      <c r="I53" s="404"/>
    </row>
    <row r="54" spans="1:9" s="38" customFormat="1" ht="17.25" customHeight="1" x14ac:dyDescent="0.2">
      <c r="A54" s="405" t="s">
        <v>287</v>
      </c>
      <c r="B54" s="404"/>
      <c r="C54" s="404"/>
      <c r="D54" s="404"/>
      <c r="E54" s="404"/>
      <c r="F54" s="404"/>
      <c r="G54" s="404"/>
      <c r="H54" s="404"/>
      <c r="I54" s="404"/>
    </row>
    <row r="55" spans="1:9" ht="17.25" customHeight="1" thickBot="1" x14ac:dyDescent="0.25"/>
    <row r="56" spans="1:9" ht="26.25" thickBot="1" x14ac:dyDescent="0.25">
      <c r="A56" s="179" t="s">
        <v>278</v>
      </c>
      <c r="B56" s="180" t="s">
        <v>96</v>
      </c>
      <c r="C56" s="238" t="s">
        <v>279</v>
      </c>
    </row>
    <row r="57" spans="1:9" ht="17.25" customHeight="1" x14ac:dyDescent="0.2">
      <c r="A57" s="7" t="s">
        <v>277</v>
      </c>
      <c r="B57" s="40" t="s">
        <v>270</v>
      </c>
      <c r="C57" s="239">
        <v>0.05</v>
      </c>
    </row>
    <row r="58" spans="1:9" ht="17.25" customHeight="1" x14ac:dyDescent="0.2">
      <c r="A58" s="7" t="s">
        <v>276</v>
      </c>
      <c r="B58" s="40" t="s">
        <v>271</v>
      </c>
      <c r="C58" s="239">
        <v>0.05</v>
      </c>
    </row>
    <row r="59" spans="1:9" ht="17.25" customHeight="1" x14ac:dyDescent="0.2">
      <c r="A59" s="7" t="s">
        <v>275</v>
      </c>
      <c r="B59" s="40" t="s">
        <v>272</v>
      </c>
      <c r="C59" s="239">
        <v>0.1</v>
      </c>
    </row>
    <row r="60" spans="1:9" ht="17.25" customHeight="1" x14ac:dyDescent="0.2">
      <c r="A60" s="7" t="s">
        <v>274</v>
      </c>
      <c r="B60" s="9" t="s">
        <v>273</v>
      </c>
      <c r="C60" s="239">
        <v>0.15</v>
      </c>
    </row>
    <row r="61" spans="1:9" ht="17.25" customHeight="1" thickBot="1" x14ac:dyDescent="0.25">
      <c r="A61" s="11" t="s">
        <v>281</v>
      </c>
      <c r="B61" s="13" t="s">
        <v>282</v>
      </c>
      <c r="C61" s="240">
        <v>0.05</v>
      </c>
    </row>
    <row r="62" spans="1:9" ht="17.25" customHeight="1" x14ac:dyDescent="0.2">
      <c r="A62" s="45" t="s">
        <v>280</v>
      </c>
      <c r="C62" s="1"/>
    </row>
    <row r="66" spans="1:9" ht="17.25" customHeight="1" x14ac:dyDescent="0.2">
      <c r="A66" s="88"/>
      <c r="B66" s="88"/>
      <c r="C66" s="88"/>
      <c r="D66" s="88"/>
      <c r="E66" s="86"/>
      <c r="F66" s="88"/>
    </row>
    <row r="67" spans="1:9" ht="17.25" customHeight="1" x14ac:dyDescent="0.2">
      <c r="A67" s="80" t="s">
        <v>333</v>
      </c>
      <c r="B67" s="81"/>
      <c r="C67" s="82"/>
      <c r="D67" s="83"/>
      <c r="E67" s="84"/>
      <c r="F67" s="83"/>
    </row>
    <row r="68" spans="1:9" s="95" customFormat="1" ht="17.25" customHeight="1" x14ac:dyDescent="0.2">
      <c r="A68" s="104" t="s">
        <v>95</v>
      </c>
      <c r="B68" s="104" t="s">
        <v>96</v>
      </c>
      <c r="C68" s="104" t="s">
        <v>332</v>
      </c>
      <c r="D68" s="104" t="s">
        <v>98</v>
      </c>
      <c r="E68" s="104" t="s">
        <v>286</v>
      </c>
      <c r="F68" s="104" t="s">
        <v>269</v>
      </c>
      <c r="G68" s="104" t="s">
        <v>297</v>
      </c>
      <c r="H68" s="104" t="s">
        <v>298</v>
      </c>
      <c r="I68" s="104" t="s">
        <v>285</v>
      </c>
    </row>
    <row r="69" spans="1:9" s="8" customFormat="1" ht="17.25" customHeight="1" x14ac:dyDescent="0.2">
      <c r="A69" s="87" t="s">
        <v>33</v>
      </c>
      <c r="B69" s="99" t="s">
        <v>318</v>
      </c>
      <c r="C69" s="99">
        <v>4903</v>
      </c>
      <c r="D69" s="100">
        <v>215805</v>
      </c>
      <c r="E69" s="96">
        <f xml:space="preserve"> D69*'13. Pro-forma Costs'!$C$57</f>
        <v>10790.25</v>
      </c>
      <c r="F69" s="96">
        <f>SUM(D69:E69)</f>
        <v>226595.25</v>
      </c>
      <c r="G69" s="96">
        <f>F69/220</f>
        <v>1029.9784090909091</v>
      </c>
      <c r="H69" s="97">
        <f>G69/7.5</f>
        <v>137.33045454545453</v>
      </c>
      <c r="I69" s="98">
        <f>H69/60</f>
        <v>2.2888409090909088</v>
      </c>
    </row>
    <row r="70" spans="1:9" s="8" customFormat="1" ht="17.25" customHeight="1" x14ac:dyDescent="0.2">
      <c r="A70" s="87" t="s">
        <v>323</v>
      </c>
      <c r="B70" s="99" t="s">
        <v>319</v>
      </c>
      <c r="C70" s="99" t="s">
        <v>324</v>
      </c>
      <c r="D70" s="101">
        <v>172621</v>
      </c>
      <c r="E70" s="96">
        <f xml:space="preserve"> D70*'13. Pro-forma Costs'!$C$57</f>
        <v>8631.0500000000011</v>
      </c>
      <c r="F70" s="96">
        <f t="shared" ref="F70:F76" si="4">SUM(D70:E70)</f>
        <v>181252.05</v>
      </c>
      <c r="G70" s="96">
        <f t="shared" ref="G70:G76" si="5">F70/220</f>
        <v>823.87295454545449</v>
      </c>
      <c r="H70" s="97">
        <f t="shared" ref="H70:H76" si="6">G70/7.5</f>
        <v>109.84972727272726</v>
      </c>
      <c r="I70" s="98">
        <f t="shared" ref="I70:I76" si="7">H70/60</f>
        <v>1.8308287878787877</v>
      </c>
    </row>
    <row r="71" spans="1:9" s="8" customFormat="1" ht="17.25" customHeight="1" x14ac:dyDescent="0.2">
      <c r="A71" s="91" t="s">
        <v>325</v>
      </c>
      <c r="B71" s="102" t="s">
        <v>320</v>
      </c>
      <c r="C71" s="102">
        <v>47077</v>
      </c>
      <c r="D71" s="103">
        <v>69853</v>
      </c>
      <c r="E71" s="96">
        <f xml:space="preserve"> D71*'13. Pro-forma Costs'!$C$57</f>
        <v>3492.65</v>
      </c>
      <c r="F71" s="96">
        <f t="shared" si="4"/>
        <v>73345.649999999994</v>
      </c>
      <c r="G71" s="96">
        <f t="shared" si="5"/>
        <v>333.38931818181817</v>
      </c>
      <c r="H71" s="97">
        <f t="shared" si="6"/>
        <v>44.451909090909091</v>
      </c>
      <c r="I71" s="98">
        <f t="shared" si="7"/>
        <v>0.74086515151515153</v>
      </c>
    </row>
    <row r="72" spans="1:9" s="8" customFormat="1" ht="17.25" customHeight="1" x14ac:dyDescent="0.2">
      <c r="A72" s="91" t="s">
        <v>326</v>
      </c>
      <c r="B72" s="102" t="s">
        <v>321</v>
      </c>
      <c r="C72" s="102">
        <v>47080</v>
      </c>
      <c r="D72" s="100">
        <v>62655</v>
      </c>
      <c r="E72" s="96">
        <f xml:space="preserve"> D72*'13. Pro-forma Costs'!$C$57</f>
        <v>3132.75</v>
      </c>
      <c r="F72" s="96">
        <f t="shared" si="4"/>
        <v>65787.75</v>
      </c>
      <c r="G72" s="96">
        <f t="shared" si="5"/>
        <v>299.0352272727273</v>
      </c>
      <c r="H72" s="97">
        <f t="shared" si="6"/>
        <v>39.87136363636364</v>
      </c>
      <c r="I72" s="98">
        <f t="shared" si="7"/>
        <v>0.66452272727272732</v>
      </c>
    </row>
    <row r="73" spans="1:9" s="8" customFormat="1" ht="17.25" customHeight="1" x14ac:dyDescent="0.2">
      <c r="A73" s="91" t="s">
        <v>327</v>
      </c>
      <c r="B73" s="102" t="s">
        <v>322</v>
      </c>
      <c r="C73" s="102">
        <v>1273</v>
      </c>
      <c r="D73" s="100">
        <v>57241</v>
      </c>
      <c r="E73" s="96">
        <f xml:space="preserve"> D73*'13. Pro-forma Costs'!$C$57</f>
        <v>2862.05</v>
      </c>
      <c r="F73" s="96">
        <f t="shared" si="4"/>
        <v>60103.05</v>
      </c>
      <c r="G73" s="96">
        <f t="shared" si="5"/>
        <v>273.19568181818181</v>
      </c>
      <c r="H73" s="97">
        <f t="shared" si="6"/>
        <v>36.42609090909091</v>
      </c>
      <c r="I73" s="98">
        <f t="shared" si="7"/>
        <v>0.60710151515151511</v>
      </c>
    </row>
    <row r="74" spans="1:9" s="8" customFormat="1" ht="17.25" customHeight="1" x14ac:dyDescent="0.2">
      <c r="A74" s="91" t="s">
        <v>328</v>
      </c>
      <c r="B74" s="102" t="s">
        <v>317</v>
      </c>
      <c r="C74" s="102">
        <v>47083</v>
      </c>
      <c r="D74" s="100">
        <v>40425</v>
      </c>
      <c r="E74" s="96">
        <f xml:space="preserve"> D74*'13. Pro-forma Costs'!$C$57</f>
        <v>2021.25</v>
      </c>
      <c r="F74" s="96">
        <f t="shared" si="4"/>
        <v>42446.25</v>
      </c>
      <c r="G74" s="96">
        <f t="shared" si="5"/>
        <v>192.9375</v>
      </c>
      <c r="H74" s="97">
        <f t="shared" si="6"/>
        <v>25.725000000000001</v>
      </c>
      <c r="I74" s="98">
        <f t="shared" si="7"/>
        <v>0.42875000000000002</v>
      </c>
    </row>
    <row r="75" spans="1:9" s="8" customFormat="1" ht="17.25" customHeight="1" x14ac:dyDescent="0.2">
      <c r="A75" s="91" t="s">
        <v>257</v>
      </c>
      <c r="B75" s="102" t="s">
        <v>317</v>
      </c>
      <c r="C75" s="102" t="s">
        <v>329</v>
      </c>
      <c r="D75" s="100">
        <v>40425</v>
      </c>
      <c r="E75" s="96">
        <f xml:space="preserve"> D75*'13. Pro-forma Costs'!$C$57</f>
        <v>2021.25</v>
      </c>
      <c r="F75" s="96">
        <f t="shared" si="4"/>
        <v>42446.25</v>
      </c>
      <c r="G75" s="96">
        <f t="shared" si="5"/>
        <v>192.9375</v>
      </c>
      <c r="H75" s="97">
        <f t="shared" si="6"/>
        <v>25.725000000000001</v>
      </c>
      <c r="I75" s="98">
        <f t="shared" si="7"/>
        <v>0.42875000000000002</v>
      </c>
    </row>
    <row r="76" spans="1:9" s="8" customFormat="1" ht="17.25" customHeight="1" thickBot="1" x14ac:dyDescent="0.25">
      <c r="A76" s="105" t="s">
        <v>330</v>
      </c>
      <c r="B76" s="106" t="s">
        <v>331</v>
      </c>
      <c r="C76" s="106">
        <v>6916</v>
      </c>
      <c r="D76" s="107">
        <v>27731</v>
      </c>
      <c r="E76" s="108">
        <f xml:space="preserve"> D76*'13. Pro-forma Costs'!$C$57</f>
        <v>1386.5500000000002</v>
      </c>
      <c r="F76" s="108">
        <f t="shared" si="4"/>
        <v>29117.55</v>
      </c>
      <c r="G76" s="108">
        <f t="shared" si="5"/>
        <v>132.35249999999999</v>
      </c>
      <c r="H76" s="109">
        <f t="shared" si="6"/>
        <v>17.646999999999998</v>
      </c>
      <c r="I76" s="110">
        <f t="shared" si="7"/>
        <v>0.29411666666666664</v>
      </c>
    </row>
    <row r="77" spans="1:9" ht="17.25" customHeight="1" thickTop="1" x14ac:dyDescent="0.2">
      <c r="A77" s="85"/>
      <c r="B77" s="85"/>
      <c r="C77" s="85"/>
      <c r="D77" s="85"/>
      <c r="E77" s="96"/>
      <c r="F77" s="96"/>
      <c r="G77" s="96"/>
      <c r="H77" s="97"/>
      <c r="I77" s="98"/>
    </row>
    <row r="78" spans="1:9" ht="17.25" customHeight="1" x14ac:dyDescent="0.2">
      <c r="A78" s="31"/>
      <c r="B78" s="89"/>
      <c r="C78" s="89"/>
      <c r="D78" s="89"/>
      <c r="E78" s="89"/>
      <c r="F78" s="89"/>
      <c r="G78" s="31"/>
      <c r="H78" s="31"/>
      <c r="I78" s="31"/>
    </row>
  </sheetData>
  <mergeCells count="2">
    <mergeCell ref="A53:I53"/>
    <mergeCell ref="A54:I54"/>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F93"/>
  <sheetViews>
    <sheetView topLeftCell="A67" workbookViewId="0">
      <selection activeCell="H77" sqref="H77"/>
    </sheetView>
  </sheetViews>
  <sheetFormatPr defaultColWidth="9.140625" defaultRowHeight="12.75" x14ac:dyDescent="0.2"/>
  <cols>
    <col min="1" max="1" width="11.28515625" style="1" customWidth="1"/>
    <col min="2" max="2" width="12.85546875" style="1" customWidth="1"/>
    <col min="3" max="3" width="9.140625" style="2"/>
    <col min="4" max="4" width="29.140625" style="1" customWidth="1"/>
    <col min="5" max="5" width="18.140625" style="1" customWidth="1"/>
    <col min="6" max="6" width="18.140625" style="3" customWidth="1"/>
    <col min="7" max="16384" width="9.140625" style="1"/>
  </cols>
  <sheetData>
    <row r="1" spans="1:6" x14ac:dyDescent="0.2">
      <c r="A1" s="1" t="s">
        <v>237</v>
      </c>
    </row>
    <row r="2" spans="1:6" x14ac:dyDescent="0.2">
      <c r="A2" s="21" t="s">
        <v>4</v>
      </c>
      <c r="B2" s="21" t="s">
        <v>3</v>
      </c>
      <c r="C2" s="21" t="s">
        <v>0</v>
      </c>
      <c r="D2" s="21" t="s">
        <v>2</v>
      </c>
      <c r="E2" s="21" t="s">
        <v>10</v>
      </c>
      <c r="F2" s="21" t="s">
        <v>1</v>
      </c>
    </row>
    <row r="3" spans="1:6" x14ac:dyDescent="0.2">
      <c r="A3" s="1" t="s">
        <v>27</v>
      </c>
      <c r="B3" s="1" t="s">
        <v>26</v>
      </c>
      <c r="C3" s="3" t="s">
        <v>121</v>
      </c>
      <c r="D3" s="1" t="s">
        <v>24</v>
      </c>
    </row>
    <row r="4" spans="1:6" x14ac:dyDescent="0.2">
      <c r="A4" s="1" t="s">
        <v>53</v>
      </c>
      <c r="B4" s="1" t="s">
        <v>54</v>
      </c>
      <c r="C4" s="3" t="s">
        <v>125</v>
      </c>
      <c r="D4" s="1" t="s">
        <v>39</v>
      </c>
    </row>
    <row r="5" spans="1:6" x14ac:dyDescent="0.2">
      <c r="A5" s="31" t="s">
        <v>56</v>
      </c>
      <c r="B5" s="31" t="s">
        <v>57</v>
      </c>
      <c r="C5" s="3" t="s">
        <v>125</v>
      </c>
      <c r="D5" s="1" t="s">
        <v>199</v>
      </c>
    </row>
    <row r="6" spans="1:6" x14ac:dyDescent="0.2">
      <c r="A6" s="1" t="s">
        <v>50</v>
      </c>
      <c r="B6" s="1" t="s">
        <v>52</v>
      </c>
      <c r="C6" s="3" t="s">
        <v>200</v>
      </c>
      <c r="D6" s="1" t="s">
        <v>55</v>
      </c>
    </row>
    <row r="7" spans="1:6" ht="13.5" thickBot="1" x14ac:dyDescent="0.25"/>
    <row r="8" spans="1:6" ht="13.5" thickBot="1" x14ac:dyDescent="0.25">
      <c r="A8" s="15" t="s">
        <v>201</v>
      </c>
      <c r="B8" s="16"/>
      <c r="C8" s="25"/>
      <c r="D8" s="16"/>
      <c r="E8" s="18"/>
    </row>
    <row r="9" spans="1:6" x14ac:dyDescent="0.2">
      <c r="A9" s="4" t="s">
        <v>5</v>
      </c>
      <c r="B9" s="5" t="s">
        <v>6</v>
      </c>
      <c r="C9" s="32"/>
      <c r="D9" s="5" t="s">
        <v>11</v>
      </c>
      <c r="E9" s="6" t="s">
        <v>7</v>
      </c>
    </row>
    <row r="10" spans="1:6" x14ac:dyDescent="0.2">
      <c r="A10" s="7" t="s">
        <v>12</v>
      </c>
      <c r="B10" s="8" t="s">
        <v>8</v>
      </c>
      <c r="C10" s="26"/>
      <c r="D10" s="8" t="s">
        <v>9</v>
      </c>
      <c r="E10" s="10" t="s">
        <v>7</v>
      </c>
    </row>
    <row r="11" spans="1:6" x14ac:dyDescent="0.2">
      <c r="A11" s="7" t="s">
        <v>13</v>
      </c>
      <c r="B11" s="8" t="s">
        <v>14</v>
      </c>
      <c r="C11" s="26"/>
      <c r="D11" s="8" t="s">
        <v>21</v>
      </c>
      <c r="E11" s="10" t="s">
        <v>7</v>
      </c>
    </row>
    <row r="12" spans="1:6" x14ac:dyDescent="0.2">
      <c r="A12" s="7" t="s">
        <v>15</v>
      </c>
      <c r="B12" s="8" t="s">
        <v>16</v>
      </c>
      <c r="C12" s="26"/>
      <c r="D12" s="8" t="s">
        <v>22</v>
      </c>
      <c r="E12" s="10" t="s">
        <v>7</v>
      </c>
    </row>
    <row r="13" spans="1:6" x14ac:dyDescent="0.2">
      <c r="A13" s="7" t="s">
        <v>17</v>
      </c>
      <c r="B13" s="8" t="s">
        <v>18</v>
      </c>
      <c r="C13" s="26"/>
      <c r="D13" s="8" t="s">
        <v>247</v>
      </c>
      <c r="E13" s="10" t="s">
        <v>7</v>
      </c>
    </row>
    <row r="14" spans="1:6" x14ac:dyDescent="0.2">
      <c r="A14" s="7" t="s">
        <v>19</v>
      </c>
      <c r="B14" s="8" t="s">
        <v>20</v>
      </c>
      <c r="C14" s="26"/>
      <c r="D14" s="8" t="s">
        <v>23</v>
      </c>
      <c r="E14" s="10" t="s">
        <v>7</v>
      </c>
    </row>
    <row r="15" spans="1:6" x14ac:dyDescent="0.2">
      <c r="A15" s="7" t="s">
        <v>27</v>
      </c>
      <c r="B15" s="8" t="s">
        <v>26</v>
      </c>
      <c r="C15" s="26"/>
      <c r="D15" s="8" t="s">
        <v>24</v>
      </c>
      <c r="E15" s="10" t="s">
        <v>25</v>
      </c>
    </row>
    <row r="16" spans="1:6" ht="13.5" thickBot="1" x14ac:dyDescent="0.25">
      <c r="A16" s="11" t="s">
        <v>28</v>
      </c>
      <c r="B16" s="12" t="s">
        <v>29</v>
      </c>
      <c r="C16" s="27"/>
      <c r="D16" s="12" t="s">
        <v>30</v>
      </c>
      <c r="E16" s="14" t="s">
        <v>25</v>
      </c>
    </row>
    <row r="17" spans="1:6" x14ac:dyDescent="0.2">
      <c r="A17" s="1" t="s">
        <v>248</v>
      </c>
    </row>
    <row r="18" spans="1:6" ht="13.5" thickBot="1" x14ac:dyDescent="0.25"/>
    <row r="19" spans="1:6" ht="13.5" thickBot="1" x14ac:dyDescent="0.25">
      <c r="A19" s="15" t="s">
        <v>243</v>
      </c>
      <c r="B19" s="16"/>
      <c r="C19" s="28"/>
    </row>
    <row r="20" spans="1:6" x14ac:dyDescent="0.2">
      <c r="A20" s="7" t="s">
        <v>244</v>
      </c>
      <c r="B20" s="8"/>
      <c r="C20" s="29"/>
    </row>
    <row r="21" spans="1:6" x14ac:dyDescent="0.2">
      <c r="A21" s="7" t="s">
        <v>245</v>
      </c>
      <c r="B21" s="8"/>
      <c r="C21" s="29"/>
    </row>
    <row r="22" spans="1:6" ht="13.5" thickBot="1" x14ac:dyDescent="0.25">
      <c r="A22" s="11" t="s">
        <v>340</v>
      </c>
      <c r="B22" s="12"/>
      <c r="C22" s="30"/>
    </row>
    <row r="24" spans="1:6" s="12" customFormat="1" ht="13.5" thickBot="1" x14ac:dyDescent="0.25">
      <c r="C24" s="27"/>
      <c r="F24" s="13"/>
    </row>
    <row r="26" spans="1:6" x14ac:dyDescent="0.2">
      <c r="A26" s="1" t="s">
        <v>235</v>
      </c>
    </row>
    <row r="27" spans="1:6" x14ac:dyDescent="0.2">
      <c r="A27" s="21" t="s">
        <v>4</v>
      </c>
      <c r="B27" s="21" t="s">
        <v>3</v>
      </c>
      <c r="C27" s="21" t="s">
        <v>0</v>
      </c>
      <c r="D27" s="21" t="s">
        <v>2</v>
      </c>
      <c r="E27" s="21" t="s">
        <v>10</v>
      </c>
      <c r="F27" s="21" t="s">
        <v>1</v>
      </c>
    </row>
    <row r="28" spans="1:6" x14ac:dyDescent="0.2">
      <c r="A28" s="1" t="s">
        <v>31</v>
      </c>
      <c r="B28" s="1" t="s">
        <v>32</v>
      </c>
      <c r="C28" s="3" t="s">
        <v>107</v>
      </c>
      <c r="D28" s="1" t="s">
        <v>33</v>
      </c>
    </row>
    <row r="29" spans="1:6" x14ac:dyDescent="0.2">
      <c r="A29" s="1" t="s">
        <v>34</v>
      </c>
      <c r="B29" s="1" t="s">
        <v>35</v>
      </c>
      <c r="C29" s="3" t="s">
        <v>138</v>
      </c>
      <c r="D29" s="1" t="s">
        <v>36</v>
      </c>
    </row>
    <row r="30" spans="1:6" x14ac:dyDescent="0.2">
      <c r="A30" s="1" t="s">
        <v>37</v>
      </c>
      <c r="B30" s="1" t="s">
        <v>38</v>
      </c>
      <c r="C30" s="3" t="s">
        <v>139</v>
      </c>
      <c r="D30" s="1" t="s">
        <v>39</v>
      </c>
    </row>
    <row r="31" spans="1:6" x14ac:dyDescent="0.2">
      <c r="A31" s="1" t="s">
        <v>40</v>
      </c>
      <c r="B31" s="1" t="s">
        <v>41</v>
      </c>
      <c r="C31" s="3" t="s">
        <v>140</v>
      </c>
      <c r="D31" s="1" t="s">
        <v>42</v>
      </c>
    </row>
    <row r="32" spans="1:6" x14ac:dyDescent="0.2">
      <c r="A32" s="1" t="s">
        <v>43</v>
      </c>
      <c r="B32" s="1" t="s">
        <v>44</v>
      </c>
      <c r="C32" s="3" t="s">
        <v>141</v>
      </c>
      <c r="D32" s="1" t="s">
        <v>45</v>
      </c>
    </row>
    <row r="33" spans="1:6" x14ac:dyDescent="0.2">
      <c r="A33" s="1" t="s">
        <v>46</v>
      </c>
      <c r="B33" s="1" t="s">
        <v>47</v>
      </c>
      <c r="C33" s="3" t="s">
        <v>142</v>
      </c>
      <c r="D33" s="1" t="s">
        <v>143</v>
      </c>
    </row>
    <row r="34" spans="1:6" ht="13.5" thickBot="1" x14ac:dyDescent="0.25">
      <c r="C34" s="3"/>
    </row>
    <row r="35" spans="1:6" ht="13.5" thickBot="1" x14ac:dyDescent="0.25">
      <c r="A35" s="19" t="s">
        <v>178</v>
      </c>
      <c r="B35" s="20" t="s">
        <v>179</v>
      </c>
      <c r="C35" s="3"/>
    </row>
    <row r="36" spans="1:6" x14ac:dyDescent="0.2">
      <c r="A36" s="7" t="s">
        <v>175</v>
      </c>
      <c r="B36" s="10" t="s">
        <v>103</v>
      </c>
      <c r="C36" s="3"/>
    </row>
    <row r="37" spans="1:6" x14ac:dyDescent="0.2">
      <c r="A37" s="7" t="s">
        <v>126</v>
      </c>
      <c r="B37" s="10" t="s">
        <v>107</v>
      </c>
      <c r="C37" s="3"/>
    </row>
    <row r="38" spans="1:6" ht="13.5" thickBot="1" x14ac:dyDescent="0.25">
      <c r="A38" s="11" t="s">
        <v>176</v>
      </c>
      <c r="B38" s="14" t="s">
        <v>177</v>
      </c>
      <c r="C38" s="3"/>
    </row>
    <row r="39" spans="1:6" x14ac:dyDescent="0.2">
      <c r="A39" s="3" t="s">
        <v>239</v>
      </c>
      <c r="C39" s="3"/>
    </row>
    <row r="40" spans="1:6" x14ac:dyDescent="0.2">
      <c r="A40" s="3"/>
      <c r="C40" s="3"/>
    </row>
    <row r="41" spans="1:6" ht="13.5" thickBot="1" x14ac:dyDescent="0.25">
      <c r="C41" s="3"/>
    </row>
    <row r="42" spans="1:6" ht="13.5" thickBot="1" x14ac:dyDescent="0.25">
      <c r="A42" s="15" t="s">
        <v>240</v>
      </c>
      <c r="B42" s="18"/>
      <c r="C42" s="3"/>
    </row>
    <row r="43" spans="1:6" x14ac:dyDescent="0.2">
      <c r="A43" s="7" t="s">
        <v>241</v>
      </c>
      <c r="B43" s="10"/>
      <c r="C43" s="3"/>
    </row>
    <row r="44" spans="1:6" ht="13.5" thickBot="1" x14ac:dyDescent="0.25">
      <c r="A44" s="11" t="s">
        <v>242</v>
      </c>
      <c r="B44" s="14"/>
      <c r="C44" s="3"/>
    </row>
    <row r="45" spans="1:6" x14ac:dyDescent="0.2">
      <c r="A45" s="1" t="s">
        <v>246</v>
      </c>
      <c r="C45" s="3"/>
    </row>
    <row r="46" spans="1:6" x14ac:dyDescent="0.2">
      <c r="C46" s="3"/>
    </row>
    <row r="47" spans="1:6" s="12" customFormat="1" ht="13.5" thickBot="1" x14ac:dyDescent="0.25">
      <c r="C47" s="27"/>
      <c r="F47" s="13"/>
    </row>
    <row r="49" spans="1:6" x14ac:dyDescent="0.2">
      <c r="A49" s="1" t="s">
        <v>238</v>
      </c>
    </row>
    <row r="50" spans="1:6" x14ac:dyDescent="0.2">
      <c r="A50" s="22" t="s">
        <v>4</v>
      </c>
      <c r="B50" s="22" t="s">
        <v>3</v>
      </c>
      <c r="C50" s="21" t="s">
        <v>0</v>
      </c>
      <c r="D50" s="21" t="s">
        <v>2</v>
      </c>
      <c r="E50" s="22" t="s">
        <v>10</v>
      </c>
      <c r="F50" s="21" t="s">
        <v>1</v>
      </c>
    </row>
    <row r="51" spans="1:6" x14ac:dyDescent="0.2">
      <c r="A51" s="1" t="s">
        <v>58</v>
      </c>
      <c r="B51" s="1" t="s">
        <v>59</v>
      </c>
      <c r="C51" s="3" t="s">
        <v>117</v>
      </c>
      <c r="D51" s="24" t="s">
        <v>261</v>
      </c>
      <c r="E51" s="1" t="s">
        <v>262</v>
      </c>
    </row>
    <row r="52" spans="1:6" x14ac:dyDescent="0.2">
      <c r="A52" s="1" t="s">
        <v>263</v>
      </c>
      <c r="B52" s="1" t="s">
        <v>264</v>
      </c>
      <c r="C52" s="3" t="s">
        <v>125</v>
      </c>
      <c r="D52" s="24" t="s">
        <v>183</v>
      </c>
      <c r="E52" s="1" t="s">
        <v>265</v>
      </c>
    </row>
    <row r="53" spans="1:6" x14ac:dyDescent="0.2">
      <c r="A53" s="1" t="s">
        <v>266</v>
      </c>
      <c r="B53" s="1" t="s">
        <v>60</v>
      </c>
      <c r="C53" s="3" t="s">
        <v>131</v>
      </c>
      <c r="D53" s="24" t="s">
        <v>39</v>
      </c>
    </row>
    <row r="54" spans="1:6" x14ac:dyDescent="0.2">
      <c r="C54" s="3"/>
      <c r="D54" s="24" t="s">
        <v>77</v>
      </c>
      <c r="E54" s="1" t="s">
        <v>267</v>
      </c>
    </row>
    <row r="55" spans="1:6" ht="13.5" thickBot="1" x14ac:dyDescent="0.25">
      <c r="C55" s="3"/>
      <c r="D55" s="24"/>
    </row>
    <row r="56" spans="1:6" ht="13.5" thickBot="1" x14ac:dyDescent="0.25">
      <c r="A56" s="15" t="s">
        <v>249</v>
      </c>
      <c r="B56" s="16"/>
      <c r="C56" s="17"/>
      <c r="D56" s="35"/>
    </row>
    <row r="57" spans="1:6" x14ac:dyDescent="0.2">
      <c r="A57" s="7" t="s">
        <v>250</v>
      </c>
      <c r="B57" s="8"/>
      <c r="C57" s="9"/>
      <c r="D57" s="33"/>
    </row>
    <row r="58" spans="1:6" x14ac:dyDescent="0.2">
      <c r="A58" s="7" t="s">
        <v>251</v>
      </c>
      <c r="B58" s="8"/>
      <c r="C58" s="9"/>
      <c r="D58" s="33"/>
    </row>
    <row r="59" spans="1:6" x14ac:dyDescent="0.2">
      <c r="A59" s="7" t="s">
        <v>39</v>
      </c>
      <c r="B59" s="8"/>
      <c r="C59" s="9"/>
      <c r="D59" s="33"/>
    </row>
    <row r="60" spans="1:6" ht="13.5" thickBot="1" x14ac:dyDescent="0.25">
      <c r="A60" s="11" t="s">
        <v>253</v>
      </c>
      <c r="B60" s="12"/>
      <c r="C60" s="13"/>
      <c r="D60" s="34"/>
    </row>
    <row r="61" spans="1:6" x14ac:dyDescent="0.2">
      <c r="A61" s="8" t="s">
        <v>246</v>
      </c>
      <c r="B61" s="8"/>
      <c r="C61" s="9"/>
      <c r="D61" s="36"/>
    </row>
    <row r="62" spans="1:6" ht="13.5" thickBot="1" x14ac:dyDescent="0.25">
      <c r="C62" s="3"/>
      <c r="D62" s="24"/>
    </row>
    <row r="63" spans="1:6" ht="13.5" thickBot="1" x14ac:dyDescent="0.25">
      <c r="A63" s="15" t="s">
        <v>252</v>
      </c>
      <c r="B63" s="16"/>
      <c r="C63" s="17"/>
      <c r="D63" s="35"/>
    </row>
    <row r="64" spans="1:6" x14ac:dyDescent="0.2">
      <c r="A64" s="7" t="s">
        <v>175</v>
      </c>
      <c r="B64" s="8"/>
      <c r="C64" s="9"/>
      <c r="D64" s="33"/>
    </row>
    <row r="65" spans="1:6" x14ac:dyDescent="0.2">
      <c r="A65" s="7" t="s">
        <v>176</v>
      </c>
      <c r="B65" s="8"/>
      <c r="C65" s="9"/>
      <c r="D65" s="33"/>
    </row>
    <row r="66" spans="1:6" x14ac:dyDescent="0.2">
      <c r="A66" s="7" t="s">
        <v>254</v>
      </c>
      <c r="B66" s="8"/>
      <c r="C66" s="9"/>
      <c r="D66" s="33"/>
    </row>
    <row r="67" spans="1:6" ht="13.5" thickBot="1" x14ac:dyDescent="0.25">
      <c r="A67" s="11" t="s">
        <v>255</v>
      </c>
      <c r="B67" s="12"/>
      <c r="C67" s="13"/>
      <c r="D67" s="34"/>
    </row>
    <row r="68" spans="1:6" x14ac:dyDescent="0.2">
      <c r="A68" s="1" t="s">
        <v>246</v>
      </c>
      <c r="C68" s="3"/>
      <c r="D68" s="24"/>
    </row>
    <row r="69" spans="1:6" x14ac:dyDescent="0.2">
      <c r="C69" s="3"/>
      <c r="D69" s="24"/>
    </row>
    <row r="70" spans="1:6" x14ac:dyDescent="0.2">
      <c r="C70" s="3"/>
      <c r="D70" s="24"/>
    </row>
    <row r="71" spans="1:6" x14ac:dyDescent="0.2">
      <c r="A71" s="1" t="s">
        <v>268</v>
      </c>
      <c r="C71" s="3"/>
      <c r="D71" s="24"/>
    </row>
    <row r="72" spans="1:6" x14ac:dyDescent="0.2">
      <c r="C72" s="3"/>
      <c r="D72" s="24"/>
    </row>
    <row r="73" spans="1:6" s="12" customFormat="1" ht="13.5" thickBot="1" x14ac:dyDescent="0.25">
      <c r="C73" s="27"/>
      <c r="F73" s="13"/>
    </row>
    <row r="75" spans="1:6" x14ac:dyDescent="0.2">
      <c r="A75" s="1" t="s">
        <v>236</v>
      </c>
    </row>
    <row r="76" spans="1:6" x14ac:dyDescent="0.2">
      <c r="A76" s="21" t="s">
        <v>4</v>
      </c>
      <c r="B76" s="21" t="s">
        <v>3</v>
      </c>
      <c r="C76" s="21" t="s">
        <v>0</v>
      </c>
      <c r="D76" s="21" t="s">
        <v>2</v>
      </c>
      <c r="E76" s="21" t="s">
        <v>10</v>
      </c>
    </row>
    <row r="77" spans="1:6" x14ac:dyDescent="0.2">
      <c r="A77" s="1" t="s">
        <v>50</v>
      </c>
      <c r="B77" s="1" t="s">
        <v>51</v>
      </c>
      <c r="C77" s="3" t="s">
        <v>110</v>
      </c>
      <c r="D77" s="1" t="s">
        <v>21</v>
      </c>
      <c r="E77" s="1" t="s">
        <v>198</v>
      </c>
    </row>
    <row r="78" spans="1:6" x14ac:dyDescent="0.2">
      <c r="A78" s="1" t="s">
        <v>48</v>
      </c>
      <c r="B78" s="1" t="s">
        <v>49</v>
      </c>
      <c r="C78" s="3" t="s">
        <v>125</v>
      </c>
      <c r="D78" s="1" t="s">
        <v>129</v>
      </c>
      <c r="E78" s="1" t="s">
        <v>182</v>
      </c>
    </row>
    <row r="79" spans="1:6" x14ac:dyDescent="0.2">
      <c r="C79" s="3" t="s">
        <v>131</v>
      </c>
      <c r="D79" s="1" t="s">
        <v>183</v>
      </c>
    </row>
    <row r="80" spans="1:6" x14ac:dyDescent="0.2">
      <c r="C80" s="3" t="s">
        <v>131</v>
      </c>
      <c r="D80" s="1" t="s">
        <v>187</v>
      </c>
    </row>
    <row r="81" spans="1:4" x14ac:dyDescent="0.2">
      <c r="C81" s="3" t="s">
        <v>131</v>
      </c>
      <c r="D81" s="1" t="s">
        <v>184</v>
      </c>
    </row>
    <row r="82" spans="1:4" x14ac:dyDescent="0.2">
      <c r="C82" s="3" t="s">
        <v>125</v>
      </c>
      <c r="D82" s="1" t="s">
        <v>185</v>
      </c>
    </row>
    <row r="83" spans="1:4" x14ac:dyDescent="0.2">
      <c r="C83" s="3" t="s">
        <v>131</v>
      </c>
      <c r="D83" s="1" t="s">
        <v>186</v>
      </c>
    </row>
    <row r="84" spans="1:4" x14ac:dyDescent="0.2">
      <c r="C84" s="3"/>
    </row>
    <row r="85" spans="1:4" ht="13.5" thickBot="1" x14ac:dyDescent="0.25">
      <c r="C85" s="3"/>
    </row>
    <row r="86" spans="1:4" ht="13.5" thickBot="1" x14ac:dyDescent="0.25">
      <c r="A86" s="15" t="s">
        <v>188</v>
      </c>
      <c r="B86" s="16"/>
      <c r="C86" s="17"/>
      <c r="D86" s="18" t="s">
        <v>196</v>
      </c>
    </row>
    <row r="87" spans="1:4" x14ac:dyDescent="0.2">
      <c r="A87" s="7"/>
      <c r="B87" s="8"/>
      <c r="C87" s="9" t="s">
        <v>193</v>
      </c>
      <c r="D87" s="10" t="s">
        <v>189</v>
      </c>
    </row>
    <row r="88" spans="1:4" x14ac:dyDescent="0.2">
      <c r="A88" s="7" t="s">
        <v>50</v>
      </c>
      <c r="B88" s="8" t="s">
        <v>197</v>
      </c>
      <c r="C88" s="9" t="s">
        <v>110</v>
      </c>
      <c r="D88" s="10" t="s">
        <v>190</v>
      </c>
    </row>
    <row r="89" spans="1:4" x14ac:dyDescent="0.2">
      <c r="A89" s="7"/>
      <c r="B89" s="8"/>
      <c r="C89" s="9" t="s">
        <v>192</v>
      </c>
      <c r="D89" s="10" t="s">
        <v>191</v>
      </c>
    </row>
    <row r="90" spans="1:4" x14ac:dyDescent="0.2">
      <c r="A90" s="7" t="s">
        <v>48</v>
      </c>
      <c r="B90" s="8" t="s">
        <v>49</v>
      </c>
      <c r="C90" s="9" t="s">
        <v>125</v>
      </c>
      <c r="D90" s="10" t="s">
        <v>194</v>
      </c>
    </row>
    <row r="91" spans="1:4" ht="13.5" thickBot="1" x14ac:dyDescent="0.25">
      <c r="A91" s="11"/>
      <c r="B91" s="12"/>
      <c r="C91" s="13" t="s">
        <v>192</v>
      </c>
      <c r="D91" s="14" t="s">
        <v>195</v>
      </c>
    </row>
    <row r="92" spans="1:4" x14ac:dyDescent="0.2">
      <c r="C92" s="3"/>
    </row>
    <row r="93" spans="1:4" x14ac:dyDescent="0.2">
      <c r="C93" s="3"/>
    </row>
  </sheetData>
  <pageMargins left="0.7" right="0.7" top="0.75" bottom="0.75" header="0.3" footer="0.3"/>
  <pageSetup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X27"/>
  <sheetViews>
    <sheetView tabSelected="1" topLeftCell="B1" zoomScaleNormal="100" workbookViewId="0">
      <pane xSplit="2" topLeftCell="I1" activePane="topRight" state="frozen"/>
      <selection activeCell="B1" sqref="B1"/>
      <selection pane="topRight" activeCell="U25" sqref="U25"/>
    </sheetView>
  </sheetViews>
  <sheetFormatPr defaultColWidth="9.140625" defaultRowHeight="12.75" x14ac:dyDescent="0.2"/>
  <cols>
    <col min="1" max="1" width="14.28515625" style="267" customWidth="1"/>
    <col min="2" max="2" width="18.5703125" style="350" customWidth="1"/>
    <col min="3" max="3" width="10.140625" style="350" customWidth="1"/>
    <col min="4" max="4" width="2.5703125" style="350" customWidth="1"/>
    <col min="5" max="10" width="8.42578125" style="350" customWidth="1"/>
    <col min="11" max="11" width="12.28515625" style="350" customWidth="1"/>
    <col min="12" max="12" width="2.7109375" style="350" customWidth="1"/>
    <col min="13" max="18" width="8.42578125" style="350" customWidth="1"/>
    <col min="19" max="19" width="12.28515625" style="350" customWidth="1"/>
    <col min="20" max="20" width="1.5703125" style="350" customWidth="1"/>
    <col min="21" max="22" width="8.42578125" style="350" customWidth="1"/>
    <col min="23" max="23" width="12.28515625" style="350" customWidth="1"/>
    <col min="24" max="24" width="1.5703125" style="350" customWidth="1"/>
    <col min="25" max="16384" width="9.140625" style="350"/>
  </cols>
  <sheetData>
    <row r="1" spans="1:24" ht="15" x14ac:dyDescent="0.25">
      <c r="B1" s="268" t="s">
        <v>363</v>
      </c>
      <c r="C1" s="269"/>
      <c r="D1" s="270"/>
      <c r="E1" s="369" t="s">
        <v>429</v>
      </c>
      <c r="F1" s="370"/>
      <c r="G1" s="370"/>
      <c r="H1" s="370"/>
      <c r="I1" s="370"/>
      <c r="J1" s="370"/>
      <c r="K1" s="371"/>
      <c r="L1" s="270"/>
      <c r="M1" s="372" t="s">
        <v>428</v>
      </c>
      <c r="N1" s="372"/>
      <c r="O1" s="372"/>
      <c r="P1" s="372"/>
      <c r="Q1" s="372"/>
      <c r="R1" s="372"/>
      <c r="S1" s="372"/>
      <c r="T1" s="270"/>
      <c r="U1" s="373" t="s">
        <v>371</v>
      </c>
      <c r="V1" s="374"/>
      <c r="W1" s="374"/>
      <c r="X1" s="270"/>
    </row>
    <row r="2" spans="1:24" x14ac:dyDescent="0.2">
      <c r="A2" s="271"/>
      <c r="B2" s="271"/>
      <c r="C2" s="272"/>
      <c r="D2" s="273"/>
      <c r="E2" s="274"/>
      <c r="F2" s="275" t="s">
        <v>258</v>
      </c>
      <c r="G2" s="276"/>
      <c r="H2" s="277"/>
      <c r="I2" s="278" t="s">
        <v>337</v>
      </c>
      <c r="J2" s="279"/>
      <c r="K2" s="280" t="s">
        <v>338</v>
      </c>
      <c r="L2" s="270"/>
      <c r="M2" s="276"/>
      <c r="N2" s="275" t="s">
        <v>258</v>
      </c>
      <c r="O2" s="276"/>
      <c r="P2" s="277"/>
      <c r="Q2" s="278" t="s">
        <v>337</v>
      </c>
      <c r="R2" s="279"/>
      <c r="S2" s="281" t="s">
        <v>338</v>
      </c>
      <c r="T2" s="282"/>
      <c r="U2" s="275" t="s">
        <v>258</v>
      </c>
      <c r="V2" s="283" t="s">
        <v>337</v>
      </c>
      <c r="W2" s="281" t="s">
        <v>338</v>
      </c>
      <c r="X2" s="282"/>
    </row>
    <row r="3" spans="1:24" s="366" customFormat="1" x14ac:dyDescent="0.2">
      <c r="A3" s="284" t="s">
        <v>365</v>
      </c>
      <c r="B3" s="284" t="s">
        <v>368</v>
      </c>
      <c r="C3" s="285" t="s">
        <v>336</v>
      </c>
      <c r="D3" s="286"/>
      <c r="E3" s="287" t="s">
        <v>169</v>
      </c>
      <c r="F3" s="288" t="s">
        <v>170</v>
      </c>
      <c r="G3" s="288" t="s">
        <v>171</v>
      </c>
      <c r="H3" s="289" t="s">
        <v>169</v>
      </c>
      <c r="I3" s="284" t="s">
        <v>170</v>
      </c>
      <c r="J3" s="284" t="s">
        <v>171</v>
      </c>
      <c r="K3" s="290" t="s">
        <v>339</v>
      </c>
      <c r="L3" s="291"/>
      <c r="M3" s="288" t="s">
        <v>169</v>
      </c>
      <c r="N3" s="288" t="s">
        <v>170</v>
      </c>
      <c r="O3" s="288" t="s">
        <v>171</v>
      </c>
      <c r="P3" s="289" t="s">
        <v>169</v>
      </c>
      <c r="Q3" s="284" t="s">
        <v>170</v>
      </c>
      <c r="R3" s="284" t="s">
        <v>171</v>
      </c>
      <c r="S3" s="292" t="s">
        <v>339</v>
      </c>
      <c r="T3" s="293"/>
      <c r="U3" s="288" t="s">
        <v>170</v>
      </c>
      <c r="V3" s="289" t="s">
        <v>170</v>
      </c>
      <c r="W3" s="292" t="s">
        <v>339</v>
      </c>
      <c r="X3" s="293"/>
    </row>
    <row r="4" spans="1:24" x14ac:dyDescent="0.2">
      <c r="A4" s="294" t="s">
        <v>366</v>
      </c>
      <c r="B4" s="294" t="s">
        <v>361</v>
      </c>
      <c r="C4" s="295" t="s">
        <v>235</v>
      </c>
      <c r="D4" s="296"/>
      <c r="E4" s="297">
        <f>'2. As-Is Analysis (cost)'!C4+'2. As-Is Analysis (cost)'!C8+'2. As-Is Analysis (cost)'!C10+'2. As-Is Analysis (cost)'!C16+'2. As-Is Analysis (cost)'!C17</f>
        <v>157.89151484848486</v>
      </c>
      <c r="F4" s="297">
        <f>'2. As-Is Analysis (cost)'!D4+'2. As-Is Analysis (cost)'!D8+'2. As-Is Analysis (cost)'!D10+'2. As-Is Analysis (cost)'!D16+'2. As-Is Analysis (cost)'!D17</f>
        <v>280.71187656565655</v>
      </c>
      <c r="G4" s="297">
        <f>'2. As-Is Analysis (cost)'!E4+'2. As-Is Analysis (cost)'!E8+'2. As-Is Analysis (cost)'!E10+'2. As-Is Analysis (cost)'!E16+'2. As-Is Analysis (cost)'!E17</f>
        <v>427.52941083333332</v>
      </c>
      <c r="H4" s="298">
        <f>'5. To-Be Analysis (cost)'!B4+'5. To-Be Analysis (cost)'!B7+'5. To-Be Analysis (cost)'!B12</f>
        <v>148.13734578282828</v>
      </c>
      <c r="I4" s="297">
        <f>'5. To-Be Analysis (cost)'!C4+'5. To-Be Analysis (cost)'!C7+'5. To-Be Analysis (cost)'!C12</f>
        <v>240.44542727272727</v>
      </c>
      <c r="J4" s="297">
        <f>'5. To-Be Analysis (cost)'!D4+'5. To-Be Analysis (cost)'!D7+'5. To-Be Analysis (cost)'!D12</f>
        <v>347.38944782828287</v>
      </c>
      <c r="K4" s="299">
        <f>1-(I4/F4)</f>
        <v>0.14344405297547591</v>
      </c>
      <c r="L4" s="300"/>
      <c r="M4" s="301">
        <f>'3. As-Is Analysis (time)'!C4+'3. As-Is Analysis (time)'!C8+'3. As-Is Analysis (time)'!C10+'3. As-Is Analysis (time)'!C16+'3. As-Is Analysis (time)'!C17</f>
        <v>390</v>
      </c>
      <c r="N4" s="301">
        <f>'3. As-Is Analysis (time)'!D4+'3. As-Is Analysis (time)'!D8+'3. As-Is Analysis (time)'!D10+'3. As-Is Analysis (time)'!D16+'3. As-Is Analysis (time)'!D17</f>
        <v>680</v>
      </c>
      <c r="O4" s="301">
        <f>'3. As-Is Analysis (time)'!E4+'3. As-Is Analysis (time)'!E8+'3. As-Is Analysis (time)'!E10+'3. As-Is Analysis (time)'!E16+'3. As-Is Analysis (time)'!E17</f>
        <v>1050</v>
      </c>
      <c r="P4" s="302">
        <f>'6. To-Be Analysis (time)'!B4+'6. To-Be Analysis (time)'!B7+'6. To-Be Analysis (time)'!B12</f>
        <v>360</v>
      </c>
      <c r="Q4" s="301">
        <f>'6. To-Be Analysis (time)'!C4+'6. To-Be Analysis (time)'!C7+'6. To-Be Analysis (time)'!C12</f>
        <v>600</v>
      </c>
      <c r="R4" s="301">
        <f>'6. To-Be Analysis (time)'!D4+'6. To-Be Analysis (time)'!D7+'6. To-Be Analysis (time)'!D12</f>
        <v>890</v>
      </c>
      <c r="S4" s="303">
        <f>1-(Q4/N4)</f>
        <v>0.11764705882352944</v>
      </c>
      <c r="T4" s="304"/>
      <c r="U4" s="301">
        <f>'4. As-Is Analysis (activities)'!C4+'4. As-Is Analysis (activities)'!C8+'4. As-Is Analysis (activities)'!C10+'4. As-Is Analysis (activities)'!C16</f>
        <v>18</v>
      </c>
      <c r="V4" s="302">
        <f>'7. To-Be Analysis (activities)'!B4+'7. To-Be Analysis (activities)'!B7+'7. To-Be Analysis (activities)'!B12</f>
        <v>12</v>
      </c>
      <c r="W4" s="305">
        <f>U4-V4</f>
        <v>6</v>
      </c>
      <c r="X4" s="304"/>
    </row>
    <row r="5" spans="1:24" x14ac:dyDescent="0.2">
      <c r="B5" s="267"/>
      <c r="C5" s="306" t="s">
        <v>236</v>
      </c>
      <c r="D5" s="282"/>
      <c r="E5" s="307">
        <f>'2. As-Is Analysis (cost)'!F4+'2. As-Is Analysis (cost)'!F8+'2. As-Is Analysis (cost)'!F16+'2. As-Is Analysis (cost)'!F17</f>
        <v>385.22108474747483</v>
      </c>
      <c r="F5" s="307">
        <f>'2. As-Is Analysis (cost)'!G4+'2. As-Is Analysis (cost)'!G8+'2. As-Is Analysis (cost)'!G16+'2. As-Is Analysis (cost)'!G17</f>
        <v>580.95203828282831</v>
      </c>
      <c r="G5" s="307">
        <f>'2. As-Is Analysis (cost)'!H4+'2. As-Is Analysis (cost)'!H8+'2. As-Is Analysis (cost)'!H16+'2. As-Is Analysis (cost)'!H17</f>
        <v>790.72484204545458</v>
      </c>
      <c r="H5" s="308">
        <f>'5. To-Be Analysis (cost)'!E4+'5. To-Be Analysis (cost)'!E7+'5. To-Be Analysis (cost)'!E12</f>
        <v>363.37820661616166</v>
      </c>
      <c r="I5" s="307">
        <f>'5. To-Be Analysis (cost)'!F4+'5. To-Be Analysis (cost)'!F7+'5. To-Be Analysis (cost)'!F12</f>
        <v>563.78977689393935</v>
      </c>
      <c r="J5" s="307">
        <f>'5. To-Be Analysis (cost)'!G4+'5. To-Be Analysis (cost)'!G7+'5. To-Be Analysis (cost)'!G12</f>
        <v>779.80340297979785</v>
      </c>
      <c r="K5" s="309">
        <f>1-(I5/F5)</f>
        <v>2.9541614897534374E-2</v>
      </c>
      <c r="L5" s="270"/>
      <c r="M5" s="310">
        <f>'3. As-Is Analysis (time)'!F4+'3. As-Is Analysis (time)'!F8+'3. As-Is Analysis (time)'!F16+'3. As-Is Analysis (time)'!F17</f>
        <v>615</v>
      </c>
      <c r="N5" s="310">
        <f>'3. As-Is Analysis (time)'!G4+'3. As-Is Analysis (time)'!G8+'3. As-Is Analysis (time)'!G16+'3. As-Is Analysis (time)'!G17</f>
        <v>925</v>
      </c>
      <c r="O5" s="310">
        <f>'3. As-Is Analysis (time)'!H4+'3. As-Is Analysis (time)'!H8+'3. As-Is Analysis (time)'!H16+'3. As-Is Analysis (time)'!H17</f>
        <v>1265</v>
      </c>
      <c r="P5" s="311">
        <f>'6. To-Be Analysis (time)'!E4+'6. To-Be Analysis (time)'!E7+'6. To-Be Analysis (time)'!E12</f>
        <v>560</v>
      </c>
      <c r="Q5" s="310">
        <f>'6. To-Be Analysis (time)'!F4+'6. To-Be Analysis (time)'!F7+'6. To-Be Analysis (time)'!F12</f>
        <v>900</v>
      </c>
      <c r="R5" s="310">
        <f>'6. To-Be Analysis (time)'!G4+'6. To-Be Analysis (time)'!G7+'6. To-Be Analysis (time)'!G12</f>
        <v>1290</v>
      </c>
      <c r="S5" s="312">
        <f>1-(Q5/N5)</f>
        <v>2.7027027027026973E-2</v>
      </c>
      <c r="T5" s="313"/>
      <c r="U5" s="310">
        <f>'4. As-Is Analysis (activities)'!D4+'4. As-Is Analysis (activities)'!D8+'4. As-Is Analysis (activities)'!D16+'4. As-Is Analysis (activities)'!D17</f>
        <v>14</v>
      </c>
      <c r="V5" s="311">
        <f>'7. To-Be Analysis (activities)'!C4+'7. To-Be Analysis (activities)'!C7+'7. To-Be Analysis (activities)'!C12</f>
        <v>12</v>
      </c>
      <c r="W5" s="314">
        <f>U5-V5</f>
        <v>2</v>
      </c>
      <c r="X5" s="313"/>
    </row>
    <row r="6" spans="1:24" x14ac:dyDescent="0.2">
      <c r="B6" s="267"/>
      <c r="C6" s="306" t="s">
        <v>237</v>
      </c>
      <c r="D6" s="282"/>
      <c r="E6" s="307">
        <f>'2. As-Is Analysis (cost)'!I4+'2. As-Is Analysis (cost)'!I8+'2. As-Is Analysis (cost)'!I16+'2. As-Is Analysis (cost)'!I17</f>
        <v>177.69346795454544</v>
      </c>
      <c r="F6" s="307">
        <f>'2. As-Is Analysis (cost)'!J4+'2. As-Is Analysis (cost)'!J8+'2. As-Is Analysis (cost)'!J16+'2. As-Is Analysis (cost)'!J17</f>
        <v>289.16318285353537</v>
      </c>
      <c r="G6" s="307">
        <f>'2. As-Is Analysis (cost)'!K4+'2. As-Is Analysis (cost)'!K8+'2. As-Is Analysis (cost)'!K16+'2. As-Is Analysis (cost)'!K17</f>
        <v>405.31351449494952</v>
      </c>
      <c r="H6" s="308">
        <f>'5. To-Be Analysis (cost)'!H4+'5. To-Be Analysis (cost)'!H7+'5. To-Be Analysis (cost)'!H12</f>
        <v>143.87475525252526</v>
      </c>
      <c r="I6" s="307">
        <f>'5. To-Be Analysis (cost)'!I4+'5. To-Be Analysis (cost)'!I7+'5. To-Be Analysis (cost)'!I12</f>
        <v>232.89908030303033</v>
      </c>
      <c r="J6" s="307">
        <f>'5. To-Be Analysis (cost)'!J4+'5. To-Be Analysis (cost)'!J7+'5. To-Be Analysis (cost)'!J12</f>
        <v>333.12675994949495</v>
      </c>
      <c r="K6" s="309">
        <f>1-(I6/F6)</f>
        <v>0.1945756095062886</v>
      </c>
      <c r="L6" s="270"/>
      <c r="M6" s="310">
        <f>'3. As-Is Analysis (time)'!I4+'3. As-Is Analysis (time)'!I8+'3. As-Is Analysis (time)'!I16+'3. As-Is Analysis (time)'!I17</f>
        <v>435</v>
      </c>
      <c r="N6" s="310">
        <f>'3. As-Is Analysis (time)'!J4+'3. As-Is Analysis (time)'!J8+'3. As-Is Analysis (time)'!J16+'3. As-Is Analysis (time)'!J17</f>
        <v>725</v>
      </c>
      <c r="O6" s="310">
        <f>'3. As-Is Analysis (time)'!K4+'3. As-Is Analysis (time)'!K8+'3. As-Is Analysis (time)'!K16+'3. As-Is Analysis (time)'!K17</f>
        <v>1030</v>
      </c>
      <c r="P6" s="311">
        <f>'6. To-Be Analysis (time)'!H4+'6. To-Be Analysis (time)'!H7+'6. To-Be Analysis (time)'!H12</f>
        <v>500</v>
      </c>
      <c r="Q6" s="310">
        <f>'6. To-Be Analysis (time)'!I4+'6. To-Be Analysis (time)'!I7+'6. To-Be Analysis (time)'!I12</f>
        <v>690</v>
      </c>
      <c r="R6" s="310">
        <f>'6. To-Be Analysis (time)'!J4+'6. To-Be Analysis (time)'!J7+'6. To-Be Analysis (time)'!J12</f>
        <v>1010</v>
      </c>
      <c r="S6" s="312">
        <f>1-(Q6/N6)</f>
        <v>4.8275862068965503E-2</v>
      </c>
      <c r="T6" s="313"/>
      <c r="U6" s="310">
        <f>'4. As-Is Analysis (activities)'!E4+'4. As-Is Analysis (activities)'!E8+'4. As-Is Analysis (activities)'!E16+'4. As-Is Analysis (activities)'!E17</f>
        <v>14</v>
      </c>
      <c r="V6" s="311">
        <f>'7. To-Be Analysis (activities)'!D4+'7. To-Be Analysis (activities)'!D7+'7. To-Be Analysis (activities)'!D12</f>
        <v>12</v>
      </c>
      <c r="W6" s="314">
        <f>U6-V6</f>
        <v>2</v>
      </c>
      <c r="X6" s="313"/>
    </row>
    <row r="7" spans="1:24" ht="13.5" thickBot="1" x14ac:dyDescent="0.25">
      <c r="A7" s="315"/>
      <c r="B7" s="315"/>
      <c r="C7" s="316" t="s">
        <v>238</v>
      </c>
      <c r="D7" s="317"/>
      <c r="E7" s="318">
        <f>'2. As-Is Analysis (cost)'!L4+'2. As-Is Analysis (cost)'!L8+'2. As-Is Analysis (cost)'!L16+'2. As-Is Analysis (cost)'!L17</f>
        <v>328.99587568181823</v>
      </c>
      <c r="F7" s="318">
        <f>'2. As-Is Analysis (cost)'!M4+'2. As-Is Analysis (cost)'!M8+'2. As-Is Analysis (cost)'!M16+'2. As-Is Analysis (cost)'!M17</f>
        <v>517.60226712121209</v>
      </c>
      <c r="G7" s="318">
        <f>'2. As-Is Analysis (cost)'!N4+'2. As-Is Analysis (cost)'!N8+'2. As-Is Analysis (cost)'!N16+'2. As-Is Analysis (cost)'!N17</f>
        <v>714.87582522727268</v>
      </c>
      <c r="H7" s="319">
        <f>'5. To-Be Analysis (cost)'!K4+'5. To-Be Analysis (cost)'!K7+'5. To-Be Analysis (cost)'!K12</f>
        <v>292.37392297979795</v>
      </c>
      <c r="I7" s="318">
        <f>'5. To-Be Analysis (cost)'!L4+'5. To-Be Analysis (cost)'!L7+'5. To-Be Analysis (cost)'!L12</f>
        <v>453.41888446969688</v>
      </c>
      <c r="J7" s="318">
        <f>'5. To-Be Analysis (cost)'!M4+'5. To-Be Analysis (cost)'!M7+'5. To-Be Analysis (cost)'!M12</f>
        <v>626.84551262626269</v>
      </c>
      <c r="K7" s="320">
        <f>1-(I7/F7)</f>
        <v>0.12400135534275925</v>
      </c>
      <c r="L7" s="321"/>
      <c r="M7" s="322">
        <f>'3. As-Is Analysis (time)'!L4+'3. As-Is Analysis (time)'!L8+'3. As-Is Analysis (time)'!L16+'3. As-Is Analysis (time)'!L17</f>
        <v>585</v>
      </c>
      <c r="N7" s="322">
        <f>'3. As-Is Analysis (time)'!M4+'3. As-Is Analysis (time)'!M8+'3. As-Is Analysis (time)'!M16+'3. As-Is Analysis (time)'!M17</f>
        <v>940</v>
      </c>
      <c r="O7" s="322">
        <f>'3. As-Is Analysis (time)'!N4+'3. As-Is Analysis (time)'!N8+'3. As-Is Analysis (time)'!N16+'3. As-Is Analysis (time)'!N17</f>
        <v>1330</v>
      </c>
      <c r="P7" s="323">
        <f>'6. To-Be Analysis (time)'!K4+'6. To-Be Analysis (time)'!K7+'6. To-Be Analysis (time)'!K12</f>
        <v>560</v>
      </c>
      <c r="Q7" s="322">
        <f>'6. To-Be Analysis (time)'!L4+'6. To-Be Analysis (time)'!L7+'6. To-Be Analysis (time)'!L12</f>
        <v>900</v>
      </c>
      <c r="R7" s="322">
        <f>'6. To-Be Analysis (time)'!M4+'6. To-Be Analysis (time)'!M7+'6. To-Be Analysis (time)'!M12</f>
        <v>1290</v>
      </c>
      <c r="S7" s="324">
        <f>1-(Q7/N7)</f>
        <v>4.2553191489361653E-2</v>
      </c>
      <c r="T7" s="325"/>
      <c r="U7" s="322">
        <f>'4. As-Is Analysis (activities)'!F4+'4. As-Is Analysis (activities)'!F8+'4. As-Is Analysis (activities)'!F16+'4. As-Is Analysis (activities)'!F17</f>
        <v>18</v>
      </c>
      <c r="V7" s="323">
        <f>'7. To-Be Analysis (activities)'!E4+'7. To-Be Analysis (activities)'!E7+'7. To-Be Analysis (activities)'!E12</f>
        <v>12</v>
      </c>
      <c r="W7" s="326">
        <f>U7-V7</f>
        <v>6</v>
      </c>
      <c r="X7" s="325"/>
    </row>
    <row r="8" spans="1:24" s="367" customFormat="1" ht="13.5" thickTop="1" x14ac:dyDescent="0.2">
      <c r="A8" s="327"/>
      <c r="B8" s="327"/>
      <c r="C8" s="328" t="s">
        <v>427</v>
      </c>
      <c r="D8" s="329"/>
      <c r="E8" s="330">
        <f>AVERAGE(E4:E7)</f>
        <v>262.45048580808083</v>
      </c>
      <c r="F8" s="330">
        <f t="shared" ref="F8:G8" si="0">AVERAGE(F4:F7)</f>
        <v>417.1073412058081</v>
      </c>
      <c r="G8" s="330">
        <f t="shared" si="0"/>
        <v>584.61089815025252</v>
      </c>
      <c r="H8" s="331">
        <f>AVERAGE(H4:H7)</f>
        <v>236.94105765782828</v>
      </c>
      <c r="I8" s="330">
        <f t="shared" ref="I8:J8" si="1">AVERAGE(I4:I7)</f>
        <v>372.63829223484845</v>
      </c>
      <c r="J8" s="330">
        <f t="shared" si="1"/>
        <v>521.79128084595959</v>
      </c>
      <c r="K8" s="332">
        <f>1-(I8/F8)</f>
        <v>0.10661296164772571</v>
      </c>
      <c r="L8" s="333"/>
      <c r="M8" s="334">
        <f>AVERAGE(M4:M7)</f>
        <v>506.25</v>
      </c>
      <c r="N8" s="334">
        <f t="shared" ref="N8:O8" si="2">AVERAGE(N4:N7)</f>
        <v>817.5</v>
      </c>
      <c r="O8" s="334">
        <f t="shared" si="2"/>
        <v>1168.75</v>
      </c>
      <c r="P8" s="335">
        <f>AVERAGE(P4:P7)</f>
        <v>495</v>
      </c>
      <c r="Q8" s="334">
        <f t="shared" ref="Q8:R8" si="3">AVERAGE(Q4:Q7)</f>
        <v>772.5</v>
      </c>
      <c r="R8" s="336">
        <f t="shared" si="3"/>
        <v>1120</v>
      </c>
      <c r="S8" s="337">
        <f>1-(Q8/N8)</f>
        <v>5.5045871559633031E-2</v>
      </c>
      <c r="T8" s="338"/>
      <c r="U8" s="334">
        <f>AVERAGE(U4:U7)</f>
        <v>16</v>
      </c>
      <c r="V8" s="335">
        <f>AVERAGE(V4:V7)</f>
        <v>12</v>
      </c>
      <c r="W8" s="339">
        <f>U8-V8</f>
        <v>4</v>
      </c>
      <c r="X8" s="338"/>
    </row>
    <row r="9" spans="1:24" x14ac:dyDescent="0.2">
      <c r="B9" s="267"/>
      <c r="C9" s="267"/>
      <c r="D9" s="270"/>
      <c r="E9" s="311"/>
      <c r="F9" s="310"/>
      <c r="G9" s="310"/>
      <c r="H9" s="311"/>
      <c r="I9" s="310"/>
      <c r="J9" s="310"/>
      <c r="K9" s="309"/>
      <c r="L9" s="270"/>
      <c r="M9" s="310"/>
      <c r="N9" s="310"/>
      <c r="O9" s="310"/>
      <c r="P9" s="311"/>
      <c r="Q9" s="310"/>
      <c r="R9" s="310"/>
      <c r="S9" s="312"/>
      <c r="T9" s="270"/>
      <c r="U9" s="310"/>
      <c r="V9" s="311"/>
      <c r="W9" s="314"/>
      <c r="X9" s="270"/>
    </row>
    <row r="10" spans="1:24" x14ac:dyDescent="0.2">
      <c r="A10" s="294" t="s">
        <v>366</v>
      </c>
      <c r="B10" s="294" t="s">
        <v>362</v>
      </c>
      <c r="C10" s="295" t="s">
        <v>235</v>
      </c>
      <c r="D10" s="296"/>
      <c r="E10" s="297">
        <f>'2. As-Is Analysis (cost)'!C4+'2. As-Is Analysis (cost)'!C6+'2. As-Is Analysis (cost)'!C9+'2. As-Is Analysis (cost)'!C16+'2. As-Is Analysis (cost)'!C17</f>
        <v>361.03344901515152</v>
      </c>
      <c r="F10" s="297">
        <f>'2. As-Is Analysis (cost)'!D4+'2. As-Is Analysis (cost)'!D6+'2. As-Is Analysis (cost)'!D9+'2. As-Is Analysis (cost)'!D16+'2. As-Is Analysis (cost)'!D17</f>
        <v>603.14972502525256</v>
      </c>
      <c r="G10" s="297">
        <f>'2. As-Is Analysis (cost)'!E4+'2. As-Is Analysis (cost)'!E6+'2. As-Is Analysis (cost)'!E9+'2. As-Is Analysis (cost)'!E16+'2. As-Is Analysis (cost)'!E17</f>
        <v>1175.2950817171718</v>
      </c>
      <c r="H10" s="298">
        <f>'5. To-Be Analysis (cost)'!B4+'5. To-Be Analysis (cost)'!B5+'5. To-Be Analysis (cost)'!B8+'5. To-Be Analysis (cost)'!B12</f>
        <v>320.44086520202012</v>
      </c>
      <c r="I10" s="297">
        <f>'5. To-Be Analysis (cost)'!C4+'5. To-Be Analysis (cost)'!C5+'5. To-Be Analysis (cost)'!C8+'5. To-Be Analysis (cost)'!C12</f>
        <v>534.44620204545447</v>
      </c>
      <c r="J10" s="297">
        <f>'5. To-Be Analysis (cost)'!D4+'5. To-Be Analysis (cost)'!D5+'5. To-Be Analysis (cost)'!D8+'5. To-Be Analysis (cost)'!D12</f>
        <v>1078.4806195707072</v>
      </c>
      <c r="K10" s="299">
        <f>1-(I10/F10)</f>
        <v>0.11390790732255018</v>
      </c>
      <c r="L10" s="300"/>
      <c r="M10" s="301">
        <f>'3. As-Is Analysis (time)'!C4+'3. As-Is Analysis (time)'!C6+'3. As-Is Analysis (time)'!C9+'3. As-Is Analysis (time)'!C16+'3. As-Is Analysis (time)'!C17</f>
        <v>830</v>
      </c>
      <c r="N10" s="301">
        <f>'3. As-Is Analysis (time)'!D4+'3. As-Is Analysis (time)'!D6+'3. As-Is Analysis (time)'!D9+'3. As-Is Analysis (time)'!D16+'3. As-Is Analysis (time)'!D17</f>
        <v>1345</v>
      </c>
      <c r="O10" s="301">
        <f>'3. As-Is Analysis (time)'!E4+'3. As-Is Analysis (time)'!E6+'3. As-Is Analysis (time)'!E9+'3. As-Is Analysis (time)'!E16+'3. As-Is Analysis (time)'!E17</f>
        <v>2225</v>
      </c>
      <c r="P10" s="302">
        <f>'6. To-Be Analysis (time)'!B4+'6. To-Be Analysis (time)'!B5+'6. To-Be Analysis (time)'!B8+'6. To-Be Analysis (time)'!B12</f>
        <v>740</v>
      </c>
      <c r="Q10" s="301">
        <f>'6. To-Be Analysis (time)'!C4+'6. To-Be Analysis (time)'!C5+'6. To-Be Analysis (time)'!C8+'6. To-Be Analysis (time)'!C12</f>
        <v>1205</v>
      </c>
      <c r="R10" s="301">
        <f>'6. To-Be Analysis (time)'!D4+'6. To-Be Analysis (time)'!D5+'6. To-Be Analysis (time)'!D8+'6. To-Be Analysis (time)'!D12</f>
        <v>2035</v>
      </c>
      <c r="S10" s="303">
        <f>1-(Q10/N10)</f>
        <v>0.10408921933085502</v>
      </c>
      <c r="T10" s="300"/>
      <c r="U10" s="301">
        <f>'4. As-Is Analysis (activities)'!C4+'4. As-Is Analysis (activities)'!C6+'4. As-Is Analysis (activities)'!C9+'4. As-Is Analysis (activities)'!C16+'4. As-Is Analysis (activities)'!C17</f>
        <v>23</v>
      </c>
      <c r="V10" s="302">
        <f>'7. To-Be Analysis (activities)'!B4+'7. To-Be Analysis (activities)'!B5+'7. To-Be Analysis (activities)'!B8+'7. To-Be Analysis (activities)'!B12</f>
        <v>19</v>
      </c>
      <c r="W10" s="305">
        <f>U10-V10</f>
        <v>4</v>
      </c>
      <c r="X10" s="300"/>
    </row>
    <row r="11" spans="1:24" x14ac:dyDescent="0.2">
      <c r="B11" s="267"/>
      <c r="C11" s="306" t="s">
        <v>236</v>
      </c>
      <c r="D11" s="282"/>
      <c r="E11" s="307">
        <f>'2. As-Is Analysis (cost)'!F4+'2. As-Is Analysis (cost)'!F6+'2. As-Is Analysis (cost)'!F16+'2. As-Is Analysis (cost)'!F17</f>
        <v>599.53098477272727</v>
      </c>
      <c r="F11" s="307">
        <f>'2. As-Is Analysis (cost)'!G4+'2. As-Is Analysis (cost)'!G6+'2. As-Is Analysis (cost)'!G16+'2. As-Is Analysis (cost)'!G17</f>
        <v>830.57875797979807</v>
      </c>
      <c r="G11" s="307">
        <f>'2. As-Is Analysis (cost)'!H4+'2. As-Is Analysis (cost)'!H6+'2. As-Is Analysis (cost)'!H16+'2. As-Is Analysis (cost)'!H17</f>
        <v>1104.7443787626264</v>
      </c>
      <c r="H11" s="308">
        <f>'5. To-Be Analysis (cost)'!E4+'5. To-Be Analysis (cost)'!E5+'5. To-Be Analysis (cost)'!E12</f>
        <v>577.68810664141404</v>
      </c>
      <c r="I11" s="307">
        <f>'5. To-Be Analysis (cost)'!F4+'5. To-Be Analysis (cost)'!F5+'5. To-Be Analysis (cost)'!F12</f>
        <v>813.41649659090911</v>
      </c>
      <c r="J11" s="307">
        <f>'5. To-Be Analysis (cost)'!G4+'5. To-Be Analysis (cost)'!G5+'5. To-Be Analysis (cost)'!G12</f>
        <v>1093.8229396969696</v>
      </c>
      <c r="K11" s="309">
        <f>1-(I11/F11)</f>
        <v>2.0663015065100376E-2</v>
      </c>
      <c r="L11" s="270"/>
      <c r="M11" s="310">
        <f>'3. As-Is Analysis (time)'!F4+'3. As-Is Analysis (time)'!F6+'3. As-Is Analysis (time)'!F16+'3. As-Is Analysis (time)'!F17</f>
        <v>870</v>
      </c>
      <c r="N11" s="310">
        <f>'3. As-Is Analysis (time)'!G4+'3. As-Is Analysis (time)'!G6+'3. As-Is Analysis (time)'!G16+'3. As-Is Analysis (time)'!G17</f>
        <v>1250</v>
      </c>
      <c r="O11" s="310">
        <f>'3. As-Is Analysis (time)'!H4+'3. As-Is Analysis (time)'!H6+'3. As-Is Analysis (time)'!H16+'3. As-Is Analysis (time)'!H17</f>
        <v>1710</v>
      </c>
      <c r="P11" s="311">
        <f>'6. To-Be Analysis (time)'!E4+'6. To-Be Analysis (time)'!E5+'6. To-Be Analysis (time)'!E12</f>
        <v>815</v>
      </c>
      <c r="Q11" s="310">
        <f>'6. To-Be Analysis (time)'!F4+'6. To-Be Analysis (time)'!F5+'6. To-Be Analysis (time)'!F12</f>
        <v>1225</v>
      </c>
      <c r="R11" s="310">
        <f>'6. To-Be Analysis (time)'!G4+'6. To-Be Analysis (time)'!G5+'6. To-Be Analysis (time)'!G12</f>
        <v>1735</v>
      </c>
      <c r="S11" s="312">
        <f>1-(Q11/N11)</f>
        <v>2.0000000000000018E-2</v>
      </c>
      <c r="T11" s="270"/>
      <c r="U11" s="310">
        <f>'4. As-Is Analysis (activities)'!D4+'4. As-Is Analysis (activities)'!D6+'4. As-Is Analysis (activities)'!D16+'4. As-Is Analysis (activities)'!D17</f>
        <v>16</v>
      </c>
      <c r="V11" s="311">
        <f>'7. To-Be Analysis (activities)'!C4+'7. To-Be Analysis (activities)'!C5+'7. To-Be Analysis (activities)'!C12</f>
        <v>14</v>
      </c>
      <c r="W11" s="314">
        <f>U11-V11</f>
        <v>2</v>
      </c>
      <c r="X11" s="270"/>
    </row>
    <row r="12" spans="1:24" x14ac:dyDescent="0.2">
      <c r="B12" s="267"/>
      <c r="C12" s="306" t="s">
        <v>237</v>
      </c>
      <c r="D12" s="282"/>
      <c r="E12" s="307">
        <f>'2. As-Is Analysis (cost)'!I4+'2. As-Is Analysis (cost)'!I6+'2. As-Is Analysis (cost)'!I11+'2. As-Is Analysis (cost)'!I16+'2. As-Is Analysis (cost)'!I17</f>
        <v>281.47890568181816</v>
      </c>
      <c r="F12" s="307">
        <f>'2. As-Is Analysis (cost)'!J4+'2. As-Is Analysis (cost)'!J6+'2. As-Is Analysis (cost)'!J11+'2. As-Is Analysis (cost)'!J16+'2. As-Is Analysis (cost)'!J17</f>
        <v>457.50342295454544</v>
      </c>
      <c r="G12" s="307">
        <f>'2. As-Is Analysis (cost)'!K4+'2. As-Is Analysis (cost)'!K6+'2. As-Is Analysis (cost)'!K11+'2. As-Is Analysis (cost)'!K16+'2. As-Is Analysis (cost)'!K17</f>
        <v>662.17547174242429</v>
      </c>
      <c r="H12" s="308">
        <f>'5. To-Be Analysis (cost)'!H4+'5. To-Be Analysis (cost)'!H5+'5. To-Be Analysis (cost)'!H8+'5. To-Be Analysis (cost)'!H12</f>
        <v>233.04581483032268</v>
      </c>
      <c r="I12" s="307">
        <f>'5. To-Be Analysis (cost)'!I4+'5. To-Be Analysis (cost)'!I5+'5. To-Be Analysis (cost)'!I8+'5. To-Be Analysis (cost)'!I12</f>
        <v>373.38042978218107</v>
      </c>
      <c r="J12" s="307">
        <f>'5. To-Be Analysis (cost)'!J4+'5. To-Be Analysis (cost)'!J5+'5. To-Be Analysis (cost)'!J8+'5. To-Be Analysis (cost)'!J12</f>
        <v>673.21008657747382</v>
      </c>
      <c r="K12" s="309">
        <f>1-(I12/F12)</f>
        <v>0.18387401919115753</v>
      </c>
      <c r="L12" s="270"/>
      <c r="M12" s="310">
        <f>'3. As-Is Analysis (time)'!I4+'3. As-Is Analysis (time)'!I6+'3. As-Is Analysis (time)'!I11+'3. As-Is Analysis (time)'!I16+'3. As-Is Analysis (time)'!I17</f>
        <v>790</v>
      </c>
      <c r="N12" s="310">
        <f>'3. As-Is Analysis (time)'!J4+'3. As-Is Analysis (time)'!J6+'3. As-Is Analysis (time)'!J11+'3. As-Is Analysis (time)'!J16+'3. As-Is Analysis (time)'!J17</f>
        <v>1265</v>
      </c>
      <c r="O12" s="310">
        <f>'3. As-Is Analysis (time)'!K4+'3. As-Is Analysis (time)'!K6+'3. As-Is Analysis (time)'!K11+'3. As-Is Analysis (time)'!K16+'3. As-Is Analysis (time)'!K17</f>
        <v>1830</v>
      </c>
      <c r="P12" s="311">
        <f>'6. To-Be Analysis (time)'!H4+'6. To-Be Analysis (time)'!H5+'6. To-Be Analysis (time)'!H8+'6. To-Be Analysis (time)'!H12</f>
        <v>740</v>
      </c>
      <c r="Q12" s="310">
        <f>'6. To-Be Analysis (time)'!I4+'6. To-Be Analysis (time)'!I5+'6. To-Be Analysis (time)'!I8+'6. To-Be Analysis (time)'!I12</f>
        <v>1205</v>
      </c>
      <c r="R12" s="310">
        <f>'6. To-Be Analysis (time)'!J4+'6. To-Be Analysis (time)'!J5+'6. To-Be Analysis (time)'!J8+'6. To-Be Analysis (time)'!J12</f>
        <v>2035</v>
      </c>
      <c r="S12" s="312">
        <f>1-(Q12/N12)</f>
        <v>4.743083003952564E-2</v>
      </c>
      <c r="T12" s="270"/>
      <c r="U12" s="310">
        <f>'4. As-Is Analysis (activities)'!E4+'4. As-Is Analysis (activities)'!E6+'4. As-Is Analysis (activities)'!E11+'4. As-Is Analysis (activities)'!E16+'4. As-Is Analysis (activities)'!E17</f>
        <v>22</v>
      </c>
      <c r="V12" s="311">
        <f>'7. To-Be Analysis (activities)'!D4+'7. To-Be Analysis (activities)'!D5+'7. To-Be Analysis (activities)'!D8+'7. To-Be Analysis (activities)'!D12</f>
        <v>19</v>
      </c>
      <c r="W12" s="314">
        <f>U12-V12</f>
        <v>3</v>
      </c>
      <c r="X12" s="270"/>
    </row>
    <row r="13" spans="1:24" ht="13.5" thickBot="1" x14ac:dyDescent="0.25">
      <c r="A13" s="315"/>
      <c r="B13" s="315"/>
      <c r="C13" s="316" t="s">
        <v>238</v>
      </c>
      <c r="D13" s="317"/>
      <c r="E13" s="318">
        <f>'2. As-Is Analysis (cost)'!L4+'2. As-Is Analysis (cost)'!L6+'2. As-Is Analysis (cost)'!L13+'2. As-Is Analysis (cost)'!L16+'2. As-Is Analysis (cost)'!L17</f>
        <v>582.48198050505039</v>
      </c>
      <c r="F13" s="318">
        <f>'2. As-Is Analysis (cost)'!M4+'2. As-Is Analysis (cost)'!M6+'2. As-Is Analysis (cost)'!M13+'2. As-Is Analysis (cost)'!M16+'2. As-Is Analysis (cost)'!M17</f>
        <v>858.49903303030294</v>
      </c>
      <c r="G13" s="318">
        <f>'2. As-Is Analysis (cost)'!N4+'2. As-Is Analysis (cost)'!N6+'2. As-Is Analysis (cost)'!N13+'2. As-Is Analysis (cost)'!N16+'2. As-Is Analysis (cost)'!N17</f>
        <v>1149.3740855555557</v>
      </c>
      <c r="H13" s="319">
        <f>'5. To-Be Analysis (cost)'!K4+'5. To-Be Analysis (cost)'!K5+'5. To-Be Analysis (cost)'!K8+'5. To-Be Analysis (cost)'!K12</f>
        <v>549.57797818181814</v>
      </c>
      <c r="I13" s="318">
        <f>'5. To-Be Analysis (cost)'!L4+'5. To-Be Analysis (cost)'!L5+'5. To-Be Analysis (cost)'!L8+'5. To-Be Analysis (cost)'!L12</f>
        <v>813.84692994949489</v>
      </c>
      <c r="J13" s="318">
        <f>'5. To-Be Analysis (cost)'!M4+'5. To-Be Analysis (cost)'!M5+'5. To-Be Analysis (cost)'!M8+'5. To-Be Analysis (cost)'!M12</f>
        <v>1319.8828628030301</v>
      </c>
      <c r="K13" s="320">
        <f>1-(I13/F13)</f>
        <v>5.2011826877889966E-2</v>
      </c>
      <c r="L13" s="321"/>
      <c r="M13" s="322">
        <f>'3. As-Is Analysis (time)'!L4+'3. As-Is Analysis (time)'!L6+'3. As-Is Analysis (time)'!L13+'3. As-Is Analysis (time)'!L16+'3. As-Is Analysis (time)'!L17</f>
        <v>1015</v>
      </c>
      <c r="N13" s="322">
        <f>'3. As-Is Analysis (time)'!M4+'3. As-Is Analysis (time)'!M6+'3. As-Is Analysis (time)'!M13+'3. As-Is Analysis (time)'!M16+'3. As-Is Analysis (time)'!M17</f>
        <v>1550</v>
      </c>
      <c r="O13" s="322">
        <f>'3. As-Is Analysis (time)'!N4+'3. As-Is Analysis (time)'!N6+'3. As-Is Analysis (time)'!N13+'3. As-Is Analysis (time)'!N16+'3. As-Is Analysis (time)'!N17</f>
        <v>2145</v>
      </c>
      <c r="P13" s="323">
        <f>'6. To-Be Analysis (time)'!K4+'6. To-Be Analysis (time)'!K5+'6. To-Be Analysis (time)'!K8+'6. To-Be Analysis (time)'!K12</f>
        <v>995</v>
      </c>
      <c r="Q13" s="322">
        <f>'6. To-Be Analysis (time)'!L4+'6. To-Be Analysis (time)'!L5+'6. To-Be Analysis (time)'!L8+'6. To-Be Analysis (time)'!L12</f>
        <v>1555</v>
      </c>
      <c r="R13" s="322">
        <f>'6. To-Be Analysis (time)'!M4+'6. To-Be Analysis (time)'!M5+'6. To-Be Analysis (time)'!M8+'6. To-Be Analysis (time)'!M12</f>
        <v>2545</v>
      </c>
      <c r="S13" s="324">
        <f>1-(Q13/N13)</f>
        <v>-3.225806451612856E-3</v>
      </c>
      <c r="T13" s="321"/>
      <c r="U13" s="322">
        <f>U10</f>
        <v>23</v>
      </c>
      <c r="V13" s="323">
        <f>'7. To-Be Analysis (activities)'!E4+'7. To-Be Analysis (activities)'!E5+'7. To-Be Analysis (activities)'!E8+'7. To-Be Analysis (activities)'!E12</f>
        <v>19</v>
      </c>
      <c r="W13" s="326">
        <f>U13-V13</f>
        <v>4</v>
      </c>
      <c r="X13" s="321"/>
    </row>
    <row r="14" spans="1:24" s="367" customFormat="1" ht="13.5" thickTop="1" x14ac:dyDescent="0.2">
      <c r="A14" s="327"/>
      <c r="B14" s="327"/>
      <c r="C14" s="328" t="s">
        <v>427</v>
      </c>
      <c r="D14" s="329"/>
      <c r="E14" s="330">
        <f>AVERAGE(E10:E13)</f>
        <v>456.13132999368685</v>
      </c>
      <c r="F14" s="330">
        <f t="shared" ref="F14:G14" si="4">AVERAGE(F10:F13)</f>
        <v>687.4327347474748</v>
      </c>
      <c r="G14" s="330">
        <f t="shared" si="4"/>
        <v>1022.8972544444446</v>
      </c>
      <c r="H14" s="331">
        <f>AVERAGE(H10:H13)</f>
        <v>420.18819121389379</v>
      </c>
      <c r="I14" s="330">
        <f t="shared" ref="I14:J14" si="5">AVERAGE(I10:I13)</f>
        <v>633.77251459200988</v>
      </c>
      <c r="J14" s="330">
        <f t="shared" si="5"/>
        <v>1041.3491271620451</v>
      </c>
      <c r="K14" s="332">
        <f>1-(I14/F14)</f>
        <v>7.8058866625222212E-2</v>
      </c>
      <c r="L14" s="333"/>
      <c r="M14" s="336">
        <f>AVERAGE(M10:M13)</f>
        <v>876.25</v>
      </c>
      <c r="N14" s="336">
        <f t="shared" ref="N14:O14" si="6">AVERAGE(N10:N13)</f>
        <v>1352.5</v>
      </c>
      <c r="O14" s="334">
        <f t="shared" si="6"/>
        <v>1977.5</v>
      </c>
      <c r="P14" s="340">
        <f>AVERAGE(P10:P13)</f>
        <v>822.5</v>
      </c>
      <c r="Q14" s="334">
        <f t="shared" ref="Q14:R14" si="7">AVERAGE(Q10:Q13)</f>
        <v>1297.5</v>
      </c>
      <c r="R14" s="334">
        <f t="shared" si="7"/>
        <v>2087.5</v>
      </c>
      <c r="S14" s="337">
        <f>1-(Q14/N14)</f>
        <v>4.06654343807763E-2</v>
      </c>
      <c r="T14" s="333"/>
      <c r="U14" s="334">
        <f>AVERAGE(U10:U13)</f>
        <v>21</v>
      </c>
      <c r="V14" s="340">
        <f>AVERAGE(V10:V13)</f>
        <v>17.75</v>
      </c>
      <c r="W14" s="339">
        <f>U14-V14</f>
        <v>3.25</v>
      </c>
      <c r="X14" s="333"/>
    </row>
    <row r="15" spans="1:24" x14ac:dyDescent="0.2">
      <c r="B15" s="267"/>
      <c r="C15" s="267"/>
      <c r="D15" s="270"/>
      <c r="E15" s="310"/>
      <c r="F15" s="310"/>
      <c r="G15" s="310"/>
      <c r="H15" s="311"/>
      <c r="I15" s="310"/>
      <c r="J15" s="310"/>
      <c r="K15" s="309"/>
      <c r="L15" s="270"/>
      <c r="M15" s="310"/>
      <c r="N15" s="310"/>
      <c r="O15" s="310"/>
      <c r="P15" s="311"/>
      <c r="Q15" s="310"/>
      <c r="R15" s="310"/>
      <c r="S15" s="312"/>
      <c r="T15" s="270"/>
      <c r="U15" s="310"/>
      <c r="V15" s="311"/>
      <c r="W15" s="314"/>
      <c r="X15" s="270"/>
    </row>
    <row r="16" spans="1:24" x14ac:dyDescent="0.2">
      <c r="A16" s="294" t="s">
        <v>367</v>
      </c>
      <c r="B16" s="294" t="s">
        <v>364</v>
      </c>
      <c r="C16" s="295" t="s">
        <v>235</v>
      </c>
      <c r="D16" s="300"/>
      <c r="E16" s="341">
        <f>'2. As-Is Analysis (cost)'!C4+'2. As-Is Analysis (cost)'!C7+'2. As-Is Analysis (cost)'!C9+'2. As-Is Analysis (cost)'!C16+'2. As-Is Analysis (cost)'!C17+'2. As-Is Analysis (cost)'!C14</f>
        <v>370.83622982323232</v>
      </c>
      <c r="F16" s="341">
        <f>'2. As-Is Analysis (cost)'!D4+'2. As-Is Analysis (cost)'!D7+'2. As-Is Analysis (cost)'!D9+'2. As-Is Analysis (cost)'!D16+'2. As-Is Analysis (cost)'!D17+'2. As-Is Analysis (cost)'!D14</f>
        <v>635.16998641414136</v>
      </c>
      <c r="G16" s="341">
        <f>'2. As-Is Analysis (cost)'!E4+'2. As-Is Analysis (cost)'!E7+'2. As-Is Analysis (cost)'!E9+'2. As-Is Analysis (cost)'!E16+'2. As-Is Analysis (cost)'!E17+'2. As-Is Analysis (cost)'!E14</f>
        <v>1215.8030145757575</v>
      </c>
      <c r="H16" s="342">
        <f>'5. To-Be Analysis (cost)'!B4+'5. To-Be Analysis (cost)'!B6+'5. To-Be Analysis (cost)'!B8+'5. To-Be Analysis (cost)'!B10+'5. To-Be Analysis (cost)'!B12</f>
        <v>330.24364601010097</v>
      </c>
      <c r="I16" s="341">
        <f>'5. To-Be Analysis (cost)'!C4+'5. To-Be Analysis (cost)'!C6+'5. To-Be Analysis (cost)'!C8+'5. To-Be Analysis (cost)'!C10+'5. To-Be Analysis (cost)'!C12</f>
        <v>566.46646343434338</v>
      </c>
      <c r="J16" s="341">
        <f>'5. To-Be Analysis (cost)'!D4+'5. To-Be Analysis (cost)'!D6+'5. To-Be Analysis (cost)'!D8+'5. To-Be Analysis (cost)'!D10+'5. To-Be Analysis (cost)'!D12</f>
        <v>1118.6765113131314</v>
      </c>
      <c r="K16" s="299">
        <f>1-(I16/F16)</f>
        <v>0.10816556898046215</v>
      </c>
      <c r="L16" s="300"/>
      <c r="M16" s="301">
        <f>'3. As-Is Analysis (time)'!C4+'3. As-Is Analysis (time)'!C7+'3. As-Is Analysis (time)'!C9+'3. As-Is Analysis (time)'!C14+'3. As-Is Analysis (time)'!C16+'3. As-Is Analysis (time)'!C17</f>
        <v>880</v>
      </c>
      <c r="N16" s="301">
        <f>'3. As-Is Analysis (time)'!D4+'3. As-Is Analysis (time)'!D7+'3. As-Is Analysis (time)'!D9+'3. As-Is Analysis (time)'!D14+'3. As-Is Analysis (time)'!D16+'3. As-Is Analysis (time)'!D17</f>
        <v>1460</v>
      </c>
      <c r="O16" s="301">
        <f>'3. As-Is Analysis (time)'!E4+'3. As-Is Analysis (time)'!E7+'3. As-Is Analysis (time)'!E9+'3. As-Is Analysis (time)'!E14+'3. As-Is Analysis (time)'!E16+'3. As-Is Analysis (time)'!E17</f>
        <v>2361</v>
      </c>
      <c r="P16" s="302">
        <f>'6. To-Be Analysis (time)'!B4+'6. To-Be Analysis (time)'!B6+'6. To-Be Analysis (time)'!B8+'6. To-Be Analysis (time)'!B10+'6. To-Be Analysis (time)'!B12</f>
        <v>790</v>
      </c>
      <c r="Q16" s="301">
        <f>'6. To-Be Analysis (time)'!C4+'6. To-Be Analysis (time)'!C6+'6. To-Be Analysis (time)'!C8+'6. To-Be Analysis (time)'!C10+'6. To-Be Analysis (time)'!C12</f>
        <v>1320</v>
      </c>
      <c r="R16" s="301">
        <f>'6. To-Be Analysis (time)'!D4+'6. To-Be Analysis (time)'!D6+'6. To-Be Analysis (time)'!D8+'6. To-Be Analysis (time)'!D10+'6. To-Be Analysis (time)'!D12</f>
        <v>2170</v>
      </c>
      <c r="S16" s="303">
        <f>1-(Q16/N16)</f>
        <v>9.589041095890416E-2</v>
      </c>
      <c r="T16" s="300"/>
      <c r="U16" s="301">
        <f>'4. As-Is Analysis (activities)'!C4+'4. As-Is Analysis (activities)'!C7+'4. As-Is Analysis (activities)'!C9+'4. As-Is Analysis (activities)'!C14+'4. As-Is Analysis (activities)'!C16+'4. As-Is Analysis (activities)'!C17</f>
        <v>25</v>
      </c>
      <c r="V16" s="302">
        <f>'7. To-Be Analysis (activities)'!B4+'7. To-Be Analysis (activities)'!B6+'7. To-Be Analysis (activities)'!B8+'7. To-Be Analysis (activities)'!B10+'7. To-Be Analysis (activities)'!B12</f>
        <v>21</v>
      </c>
      <c r="W16" s="305">
        <f>U16-V16</f>
        <v>4</v>
      </c>
      <c r="X16" s="300"/>
    </row>
    <row r="17" spans="1:24" x14ac:dyDescent="0.2">
      <c r="B17" s="267"/>
      <c r="C17" s="306" t="s">
        <v>236</v>
      </c>
      <c r="D17" s="270"/>
      <c r="E17" s="307">
        <f>'2. As-Is Analysis (cost)'!F4+'2. As-Is Analysis (cost)'!F7+'2. As-Is Analysis (cost)'!F14+'2. As-Is Analysis (cost)'!F16+'2. As-Is Analysis (cost)'!F17</f>
        <v>565.34998247474755</v>
      </c>
      <c r="F17" s="307">
        <f>'2. As-Is Analysis (cost)'!G4+'2. As-Is Analysis (cost)'!G7+'2. As-Is Analysis (cost)'!G14+'2. As-Is Analysis (cost)'!G16+'2. As-Is Analysis (cost)'!G17</f>
        <v>866.46348633838386</v>
      </c>
      <c r="G17" s="307">
        <f>'2. As-Is Analysis (cost)'!H4+'2. As-Is Analysis (cost)'!H7+'2. As-Is Analysis (cost)'!H14+'2. As-Is Analysis (cost)'!H16+'2. As-Is Analysis (cost)'!H17</f>
        <v>1196.9650286666667</v>
      </c>
      <c r="H17" s="308">
        <f>'5. To-Be Analysis (cost)'!E4+'5. To-Be Analysis (cost)'!E6+'5. To-Be Analysis (cost)'!E10+'5. To-Be Analysis (cost)'!E12</f>
        <v>543.50710434343432</v>
      </c>
      <c r="I17" s="307">
        <f>'5. To-Be Analysis (cost)'!F4+'5. To-Be Analysis (cost)'!F6+'5. To-Be Analysis (cost)'!F10+'5. To-Be Analysis (cost)'!F12</f>
        <v>849.30122494949489</v>
      </c>
      <c r="J17" s="307">
        <f>'5. To-Be Analysis (cost)'!G4+'5. To-Be Analysis (cost)'!G6+'5. To-Be Analysis (cost)'!G10+'5. To-Be Analysis (cost)'!G12</f>
        <v>1185.7315484848486</v>
      </c>
      <c r="K17" s="309">
        <f>1-(I17/F17)</f>
        <v>1.9807252884268101E-2</v>
      </c>
      <c r="L17" s="270"/>
      <c r="M17" s="310">
        <f>'3. As-Is Analysis (time)'!F4+'3. As-Is Analysis (time)'!F7+'3. As-Is Analysis (time)'!F14+'3. As-Is Analysis (time)'!F16+'3. As-Is Analysis (time)'!F17</f>
        <v>890</v>
      </c>
      <c r="N17" s="310">
        <f>'3. As-Is Analysis (time)'!G4+'3. As-Is Analysis (time)'!G7+'3. As-Is Analysis (time)'!G14+'3. As-Is Analysis (time)'!G16+'3. As-Is Analysis (time)'!G17</f>
        <v>1365</v>
      </c>
      <c r="O17" s="310">
        <f>'3. As-Is Analysis (time)'!H4+'3. As-Is Analysis (time)'!H7+'3. As-Is Analysis (time)'!H14+'3. As-Is Analysis (time)'!H16+'3. As-Is Analysis (time)'!H17</f>
        <v>1876</v>
      </c>
      <c r="P17" s="311">
        <f>'6. To-Be Analysis (time)'!E4+'6. To-Be Analysis (time)'!E6+'6. To-Be Analysis (time)'!E10+'6. To-Be Analysis (time)'!E12</f>
        <v>835</v>
      </c>
      <c r="Q17" s="310">
        <f>'6. To-Be Analysis (time)'!F4+'6. To-Be Analysis (time)'!F6+'6. To-Be Analysis (time)'!F10+'6. To-Be Analysis (time)'!F12</f>
        <v>1340</v>
      </c>
      <c r="R17" s="310">
        <f>'6. To-Be Analysis (time)'!G4+'6. To-Be Analysis (time)'!G6+'6. To-Be Analysis (time)'!G10+'6. To-Be Analysis (time)'!G12</f>
        <v>1900</v>
      </c>
      <c r="S17" s="312">
        <f>1-(Q17/N17)</f>
        <v>1.8315018315018361E-2</v>
      </c>
      <c r="T17" s="270"/>
      <c r="U17" s="310">
        <f>'4. As-Is Analysis (activities)'!D4+'4. As-Is Analysis (activities)'!D7+'4. As-Is Analysis (activities)'!D14+'4. As-Is Analysis (activities)'!D16+'4. As-Is Analysis (activities)'!D17</f>
        <v>18</v>
      </c>
      <c r="V17" s="311">
        <f>'7. To-Be Analysis (activities)'!C4+'7. To-Be Analysis (activities)'!C6+'7. To-Be Analysis (activities)'!C10+'7. To-Be Analysis (activities)'!C12</f>
        <v>16</v>
      </c>
      <c r="W17" s="314">
        <f>U17-V17</f>
        <v>2</v>
      </c>
      <c r="X17" s="270"/>
    </row>
    <row r="18" spans="1:24" x14ac:dyDescent="0.2">
      <c r="B18" s="267"/>
      <c r="C18" s="306" t="s">
        <v>237</v>
      </c>
      <c r="D18" s="270"/>
      <c r="E18" s="307">
        <f>'2. As-Is Analysis (cost)'!I4+'2. As-Is Analysis (cost)'!I7+'2. As-Is Analysis (cost)'!I11+'2. As-Is Analysis (cost)'!I14+'2. As-Is Analysis (cost)'!I16+'2. As-Is Analysis (cost)'!I17</f>
        <v>340.89800535353538</v>
      </c>
      <c r="F18" s="307">
        <f>'2. As-Is Analysis (cost)'!J4+'2. As-Is Analysis (cost)'!J7+'2. As-Is Analysis (cost)'!J11+'2. As-Is Analysis (cost)'!J14+'2. As-Is Analysis (cost)'!J16+'2. As-Is Analysis (cost)'!J17</f>
        <v>552.93853858585862</v>
      </c>
      <c r="G18" s="307">
        <f>'2. As-Is Analysis (cost)'!K4+'2. As-Is Analysis (cost)'!K7+'2. As-Is Analysis (cost)'!K11+'2. As-Is Analysis (cost)'!K14+'2. As-Is Analysis (cost)'!K16+'2. As-Is Analysis (cost)'!K17</f>
        <v>774.93426194949507</v>
      </c>
      <c r="H18" s="308">
        <f>'5. To-Be Analysis (cost)'!H4+'5. To-Be Analysis (cost)'!H6+'5. To-Be Analysis (cost)'!H8+'5. To-Be Analysis (cost)'!H10+'5. To-Be Analysis (cost)'!H12</f>
        <v>231.19007464646461</v>
      </c>
      <c r="I18" s="307">
        <f>'5. To-Be Analysis (cost)'!I4+'5. To-Be Analysis (cost)'!I6+'5. To-Be Analysis (cost)'!I8+'5. To-Be Analysis (cost)'!I10+'5. To-Be Analysis (cost)'!I12</f>
        <v>390.80000116161625</v>
      </c>
      <c r="J18" s="307">
        <f>'5. To-Be Analysis (cost)'!J4+'5. To-Be Analysis (cost)'!J6+'5. To-Be Analysis (cost)'!J8+'5. To-Be Analysis (cost)'!J10+'5. To-Be Analysis (cost)'!J12</f>
        <v>698.85224285353524</v>
      </c>
      <c r="K18" s="309">
        <f>1-(I18/F18)</f>
        <v>0.29323066870851866</v>
      </c>
      <c r="L18" s="270"/>
      <c r="M18" s="310">
        <f>'3. As-Is Analysis (time)'!I4+'3. As-Is Analysis (time)'!I7+'3. As-Is Analysis (time)'!I11+'3. As-Is Analysis (time)'!I14+'3. As-Is Analysis (time)'!I16+'3. As-Is Analysis (time)'!I17</f>
        <v>975</v>
      </c>
      <c r="N18" s="310">
        <f>'3. As-Is Analysis (time)'!J4+'3. As-Is Analysis (time)'!J7+'3. As-Is Analysis (time)'!J11+'3. As-Is Analysis (time)'!J14+'3. As-Is Analysis (time)'!J16+'3. As-Is Analysis (time)'!J17</f>
        <v>1560</v>
      </c>
      <c r="O18" s="310">
        <f>'3. As-Is Analysis (time)'!K4+'3. As-Is Analysis (time)'!K7+'3. As-Is Analysis (time)'!K11+'3. As-Is Analysis (time)'!K14+'3. As-Is Analysis (time)'!K16+'3. As-Is Analysis (time)'!K17</f>
        <v>2176</v>
      </c>
      <c r="P18" s="311">
        <f>'6. To-Be Analysis (time)'!H4+'6. To-Be Analysis (time)'!H6+'6. To-Be Analysis (time)'!H8+'6. To-Be Analysis (time)'!H10+'6. To-Be Analysis (time)'!H12</f>
        <v>790</v>
      </c>
      <c r="Q18" s="310">
        <f>'6. To-Be Analysis (time)'!I4+'6. To-Be Analysis (time)'!I6+'6. To-Be Analysis (time)'!I8+'6. To-Be Analysis (time)'!I10+'6. To-Be Analysis (time)'!I12</f>
        <v>1320</v>
      </c>
      <c r="R18" s="310">
        <f>'6. To-Be Analysis (time)'!J4+'6. To-Be Analysis (time)'!J6+'6. To-Be Analysis (time)'!J8+'6. To-Be Analysis (time)'!J10+'6. To-Be Analysis (time)'!J12</f>
        <v>2170</v>
      </c>
      <c r="S18" s="312">
        <f>1-(Q18/N18)</f>
        <v>0.15384615384615385</v>
      </c>
      <c r="T18" s="270"/>
      <c r="U18" s="310">
        <f>'4. As-Is Analysis (activities)'!E4+'4. As-Is Analysis (activities)'!E7+'4. As-Is Analysis (activities)'!E11+'4. As-Is Analysis (activities)'!E14+'4. As-Is Analysis (activities)'!E16+'4. As-Is Analysis (activities)'!E17</f>
        <v>24</v>
      </c>
      <c r="V18" s="311">
        <f>'7. To-Be Analysis (activities)'!D4+'7. To-Be Analysis (activities)'!D6+'7. To-Be Analysis (activities)'!D8+'7. To-Be Analysis (activities)'!D10+'7. To-Be Analysis (activities)'!D12</f>
        <v>21</v>
      </c>
      <c r="W18" s="314">
        <f>U18-V18</f>
        <v>3</v>
      </c>
      <c r="X18" s="270"/>
    </row>
    <row r="19" spans="1:24" ht="13.5" thickBot="1" x14ac:dyDescent="0.25">
      <c r="A19" s="315"/>
      <c r="B19" s="315"/>
      <c r="C19" s="316" t="s">
        <v>238</v>
      </c>
      <c r="D19" s="321"/>
      <c r="E19" s="318">
        <f>'2. As-Is Analysis (cost)'!L4+'2. As-Is Analysis (cost)'!L7+'2. As-Is Analysis (cost)'!L13+'2. As-Is Analysis (cost)'!L16+'2. As-Is Analysis (cost)'!L17</f>
        <v>679.47223871212123</v>
      </c>
      <c r="F19" s="318">
        <f>'2. As-Is Analysis (cost)'!M4+'2. As-Is Analysis (cost)'!M7+'2. As-Is Analysis (cost)'!M13+'2. As-Is Analysis (cost)'!M16+'2. As-Is Analysis (cost)'!M17</f>
        <v>1041.3360494444444</v>
      </c>
      <c r="G19" s="318">
        <f>'2. As-Is Analysis (cost)'!N4+'2. As-Is Analysis (cost)'!N7+'2. As-Is Analysis (cost)'!N13+'2. As-Is Analysis (cost)'!N16+'2. As-Is Analysis (cost)'!N17</f>
        <v>1427.7982118181817</v>
      </c>
      <c r="H19" s="319">
        <f>'5. To-Be Analysis (cost)'!K4+'5. To-Be Analysis (cost)'!K6+'5. To-Be Analysis (cost)'!K8+'5. To-Be Analysis (cost)'!K10+'5. To-Be Analysis (cost)'!K12</f>
        <v>521.5950899242423</v>
      </c>
      <c r="I19" s="318">
        <f>'5. To-Be Analysis (cost)'!L4+'5. To-Be Analysis (cost)'!L6+'5. To-Be Analysis (cost)'!L8+'5. To-Be Analysis (cost)'!L10+'5. To-Be Analysis (cost)'!L12</f>
        <v>842.32476328282814</v>
      </c>
      <c r="J19" s="318">
        <f>'5. To-Be Analysis (cost)'!M4+'5. To-Be Analysis (cost)'!M6+'5. To-Be Analysis (cost)'!M8+'5. To-Be Analysis (cost)'!M10+'5. To-Be Analysis (cost)'!M12</f>
        <v>1393.6779177272726</v>
      </c>
      <c r="K19" s="320">
        <f>1-(I19/F19)</f>
        <v>0.19111149207577061</v>
      </c>
      <c r="L19" s="321"/>
      <c r="M19" s="322">
        <f>'3. As-Is Analysis (time)'!L4+'3. As-Is Analysis (time)'!L7+'3. As-Is Analysis (time)'!L13+'3. As-Is Analysis (time)'!L14+'3. As-Is Analysis (time)'!L16+'3. As-Is Analysis (time)'!L17</f>
        <v>1220</v>
      </c>
      <c r="N19" s="322">
        <f>'3. As-Is Analysis (time)'!M4+'3. As-Is Analysis (time)'!M7+'3. As-Is Analysis (time)'!M13+'3. As-Is Analysis (time)'!M14+'3. As-Is Analysis (time)'!M16+'3. As-Is Analysis (time)'!M17</f>
        <v>1900</v>
      </c>
      <c r="O19" s="322">
        <f>'3. As-Is Analysis (time)'!N4+'3. As-Is Analysis (time)'!N7+'3. As-Is Analysis (time)'!N13+'3. As-Is Analysis (time)'!N14+'3. As-Is Analysis (time)'!N16+'3. As-Is Analysis (time)'!N17</f>
        <v>2636</v>
      </c>
      <c r="P19" s="323">
        <f>'6. To-Be Analysis (time)'!K4+'6. To-Be Analysis (time)'!K6+'6. To-Be Analysis (time)'!K8+'6. To-Be Analysis (time)'!K10+'6. To-Be Analysis (time)'!K12</f>
        <v>1015</v>
      </c>
      <c r="Q19" s="322">
        <f>'6. To-Be Analysis (time)'!L4+'6. To-Be Analysis (time)'!L6+'6. To-Be Analysis (time)'!L8+'6. To-Be Analysis (time)'!L10+'6. To-Be Analysis (time)'!L12</f>
        <v>1670</v>
      </c>
      <c r="R19" s="322">
        <f>'6. To-Be Analysis (time)'!M4+'6. To-Be Analysis (time)'!M6+'6. To-Be Analysis (time)'!M8+'6. To-Be Analysis (time)'!M10+'6. To-Be Analysis (time)'!M12</f>
        <v>2710</v>
      </c>
      <c r="S19" s="324">
        <f>1-(Q19/N19)</f>
        <v>0.12105263157894741</v>
      </c>
      <c r="T19" s="321"/>
      <c r="U19" s="322">
        <f>'4. As-Is Analysis (activities)'!F4+'4. As-Is Analysis (activities)'!F7+'4. As-Is Analysis (activities)'!F13+'4. As-Is Analysis (activities)'!F14+'4. As-Is Analysis (activities)'!F16+'4. As-Is Analysis (activities)'!F17</f>
        <v>23</v>
      </c>
      <c r="V19" s="323">
        <f>'7. To-Be Analysis (activities)'!E4+'7. To-Be Analysis (activities)'!E6+'7. To-Be Analysis (activities)'!E8+'7. To-Be Analysis (activities)'!E10+'7. To-Be Analysis (activities)'!E12</f>
        <v>21</v>
      </c>
      <c r="W19" s="326">
        <f>U19-V19</f>
        <v>2</v>
      </c>
      <c r="X19" s="321"/>
    </row>
    <row r="20" spans="1:24" s="367" customFormat="1" ht="13.5" thickTop="1" x14ac:dyDescent="0.2">
      <c r="A20" s="327"/>
      <c r="B20" s="327"/>
      <c r="C20" s="328" t="s">
        <v>427</v>
      </c>
      <c r="D20" s="333"/>
      <c r="E20" s="330">
        <f>AVERAGE(E16:E19)</f>
        <v>489.13911409090912</v>
      </c>
      <c r="F20" s="330">
        <f t="shared" ref="F20:G20" si="8">AVERAGE(F16:F19)</f>
        <v>773.97701519570705</v>
      </c>
      <c r="G20" s="330">
        <f t="shared" si="8"/>
        <v>1153.8751292525253</v>
      </c>
      <c r="H20" s="343">
        <f>AVERAGE(H16:H19)</f>
        <v>406.63397873106055</v>
      </c>
      <c r="I20" s="344">
        <f t="shared" ref="I20:J20" si="9">AVERAGE(I16:I19)</f>
        <v>662.22311320707058</v>
      </c>
      <c r="J20" s="344">
        <f t="shared" si="9"/>
        <v>1099.234555094697</v>
      </c>
      <c r="K20" s="332">
        <f>1-(I20/F20)</f>
        <v>0.1443891740898513</v>
      </c>
      <c r="L20" s="333"/>
      <c r="M20" s="336">
        <f>AVERAGE(M16:M19)</f>
        <v>991.25</v>
      </c>
      <c r="N20" s="336">
        <f t="shared" ref="N20:O20" si="10">AVERAGE(N16:N19)</f>
        <v>1571.25</v>
      </c>
      <c r="O20" s="334">
        <f t="shared" si="10"/>
        <v>2262.25</v>
      </c>
      <c r="P20" s="340">
        <f>AVERAGE(P16:P19)</f>
        <v>857.5</v>
      </c>
      <c r="Q20" s="334">
        <f t="shared" ref="Q20:R20" si="11">AVERAGE(Q16:Q19)</f>
        <v>1412.5</v>
      </c>
      <c r="R20" s="334">
        <f t="shared" si="11"/>
        <v>2237.5</v>
      </c>
      <c r="S20" s="337">
        <f>1-(Q20/N20)</f>
        <v>0.10103420843277644</v>
      </c>
      <c r="T20" s="333"/>
      <c r="U20" s="334">
        <f>AVERAGE(U16:U19)</f>
        <v>22.5</v>
      </c>
      <c r="V20" s="340">
        <f>AVERAGE(V16:V19)</f>
        <v>19.75</v>
      </c>
      <c r="W20" s="339">
        <f>U20-V20</f>
        <v>2.75</v>
      </c>
      <c r="X20" s="333"/>
    </row>
    <row r="21" spans="1:24" x14ac:dyDescent="0.2">
      <c r="B21" s="267"/>
      <c r="C21" s="267"/>
      <c r="D21" s="270"/>
      <c r="E21" s="310"/>
      <c r="F21" s="310"/>
      <c r="G21" s="310"/>
      <c r="H21" s="311"/>
      <c r="I21" s="310"/>
      <c r="J21" s="310"/>
      <c r="K21" s="309"/>
      <c r="L21" s="270"/>
      <c r="M21" s="310"/>
      <c r="N21" s="310"/>
      <c r="O21" s="310"/>
      <c r="P21" s="311"/>
      <c r="Q21" s="310"/>
      <c r="R21" s="310"/>
      <c r="S21" s="312"/>
      <c r="T21" s="270"/>
      <c r="U21" s="310"/>
      <c r="V21" s="311"/>
      <c r="W21" s="314"/>
      <c r="X21" s="270"/>
    </row>
    <row r="22" spans="1:24" x14ac:dyDescent="0.2">
      <c r="A22" s="294" t="s">
        <v>369</v>
      </c>
      <c r="B22" s="294" t="s">
        <v>379</v>
      </c>
      <c r="C22" s="295" t="s">
        <v>235</v>
      </c>
      <c r="D22" s="300"/>
      <c r="E22" s="341">
        <f>'2. As-Is Analysis (cost)'!C4+'2. As-Is Analysis (cost)'!C15+'2. As-Is Analysis (cost)'!C16+'2. As-Is Analysis (cost)'!C17</f>
        <v>59.31505078282828</v>
      </c>
      <c r="F22" s="341">
        <f>'2. As-Is Analysis (cost)'!D4+'2. As-Is Analysis (cost)'!D15+'2. As-Is Analysis (cost)'!D16+'2. As-Is Analysis (cost)'!D17</f>
        <v>112.38927924242424</v>
      </c>
      <c r="G22" s="341">
        <f>'2. As-Is Analysis (cost)'!E4+'2. As-Is Analysis (cost)'!E15+'2. As-Is Analysis (cost)'!E16+'2. As-Is Analysis (cost)'!E17</f>
        <v>174.82474118686869</v>
      </c>
      <c r="H22" s="342">
        <f>'5. To-Be Analysis (cost)'!B4+'5. To-Be Analysis (cost)'!B11+'5. To-Be Analysis (cost)'!B12</f>
        <v>46.806167424242425</v>
      </c>
      <c r="I22" s="341">
        <f>'5. To-Be Analysis (cost)'!C4+'5. To-Be Analysis (cost)'!C11+'5. To-Be Analysis (cost)'!C12</f>
        <v>85.811306944444453</v>
      </c>
      <c r="J22" s="341">
        <f>'5. To-Be Analysis (cost)'!D4+'5. To-Be Analysis (cost)'!D11+'5. To-Be Analysis (cost)'!D12</f>
        <v>134.17767994949497</v>
      </c>
      <c r="K22" s="299">
        <f>1-(I22/F22)</f>
        <v>0.2364813839641321</v>
      </c>
      <c r="L22" s="300"/>
      <c r="M22" s="301">
        <f>'3. As-Is Analysis (time)'!C4+'3. As-Is Analysis (time)'!C15+'3. As-Is Analysis (time)'!C16+'3. As-Is Analysis (time)'!C17</f>
        <v>150</v>
      </c>
      <c r="N22" s="301">
        <f>'3. As-Is Analysis (time)'!D4+'3. As-Is Analysis (time)'!D15+'3. As-Is Analysis (time)'!D16+'3. As-Is Analysis (time)'!D17</f>
        <v>280</v>
      </c>
      <c r="O22" s="301">
        <f>'3. As-Is Analysis (time)'!E4+'3. As-Is Analysis (time)'!E15+'3. As-Is Analysis (time)'!E16+'3. As-Is Analysis (time)'!E17</f>
        <v>440</v>
      </c>
      <c r="P22" s="302">
        <f>'6. To-Be Analysis (time)'!B4+'6. To-Be Analysis (time)'!B11+'6. To-Be Analysis (time)'!B12</f>
        <v>150</v>
      </c>
      <c r="Q22" s="301">
        <f>'6. To-Be Analysis (time)'!C4+'6. To-Be Analysis (time)'!C11+'6. To-Be Analysis (time)'!C12</f>
        <v>275</v>
      </c>
      <c r="R22" s="301">
        <f>'6. To-Be Analysis (time)'!D4+'6. To-Be Analysis (time)'!D11+'6. To-Be Analysis (time)'!D12</f>
        <v>430</v>
      </c>
      <c r="S22" s="303">
        <f>1-(Q22/N22)</f>
        <v>1.7857142857142905E-2</v>
      </c>
      <c r="T22" s="300"/>
      <c r="U22" s="301">
        <f>'4. As-Is Analysis (activities)'!C4+'4. As-Is Analysis (activities)'!C15+'4. As-Is Analysis (activities)'!C16+'4. As-Is Analysis (activities)'!C17</f>
        <v>14</v>
      </c>
      <c r="V22" s="302">
        <f>'7. To-Be Analysis (activities)'!B4+'7. To-Be Analysis (activities)'!B11+'7. To-Be Analysis (activities)'!B12</f>
        <v>7</v>
      </c>
      <c r="W22" s="305">
        <f>U22-V22</f>
        <v>7</v>
      </c>
      <c r="X22" s="300"/>
    </row>
    <row r="23" spans="1:24" x14ac:dyDescent="0.2">
      <c r="A23" s="306" t="s">
        <v>370</v>
      </c>
      <c r="B23" s="345"/>
      <c r="C23" s="306" t="s">
        <v>236</v>
      </c>
      <c r="D23" s="270"/>
      <c r="E23" s="307">
        <f>'2. As-Is Analysis (cost)'!F4+'2. As-Is Analysis (cost)'!F15+'2. As-Is Analysis (cost)'!F16+'2. As-Is Analysis (cost)'!F17</f>
        <v>65.528634393939399</v>
      </c>
      <c r="F23" s="307">
        <f>'2. As-Is Analysis (cost)'!G4+'2. As-Is Analysis (cost)'!G15+'2. As-Is Analysis (cost)'!G16+'2. As-Is Analysis (cost)'!G17</f>
        <v>99.853157171717172</v>
      </c>
      <c r="G23" s="307">
        <f>'2. As-Is Analysis (cost)'!H4+'2. As-Is Analysis (cost)'!H15+'2. As-Is Analysis (cost)'!H16+'2. As-Is Analysis (cost)'!H17</f>
        <v>141.97870785353535</v>
      </c>
      <c r="H23" s="308">
        <f>'5. To-Be Analysis (cost)'!E4+'5. To-Be Analysis (cost)'!E11+'5. To-Be Analysis (cost)'!E12</f>
        <v>46.806167424242425</v>
      </c>
      <c r="I23" s="307">
        <f>'5. To-Be Analysis (cost)'!F4+'5. To-Be Analysis (cost)'!F11+'5. To-Be Analysis (cost)'!F12</f>
        <v>85.811306944444453</v>
      </c>
      <c r="J23" s="307">
        <f>'5. To-Be Analysis (cost)'!G4+'5. To-Be Analysis (cost)'!G11+'5. To-Be Analysis (cost)'!G12</f>
        <v>134.17767994949497</v>
      </c>
      <c r="K23" s="309">
        <f>1-(I23/F23)</f>
        <v>0.14062499999999989</v>
      </c>
      <c r="L23" s="270"/>
      <c r="M23" s="310">
        <f>'3. As-Is Analysis (time)'!F4+'3. As-Is Analysis (time)'!F15+'3. As-Is Analysis (time)'!F16+'3. As-Is Analysis (time)'!F17</f>
        <v>195</v>
      </c>
      <c r="N23" s="310">
        <f>'3. As-Is Analysis (time)'!G4+'3. As-Is Analysis (time)'!G15+'3. As-Is Analysis (time)'!G16+'3. As-Is Analysis (time)'!G17</f>
        <v>290</v>
      </c>
      <c r="O23" s="310">
        <f>'3. As-Is Analysis (time)'!H4+'3. As-Is Analysis (time)'!H15+'3. As-Is Analysis (time)'!H16+'3. As-Is Analysis (time)'!H17</f>
        <v>395</v>
      </c>
      <c r="P23" s="311">
        <f>'6. To-Be Analysis (time)'!E4+'6. To-Be Analysis (time)'!E11+'6. To-Be Analysis (time)'!E12</f>
        <v>150</v>
      </c>
      <c r="Q23" s="310">
        <f>'6. To-Be Analysis (time)'!F4+'6. To-Be Analysis (time)'!F11+'6. To-Be Analysis (time)'!F12</f>
        <v>275</v>
      </c>
      <c r="R23" s="310">
        <f>'6. To-Be Analysis (time)'!G4+'6. To-Be Analysis (time)'!G11+'6. To-Be Analysis (time)'!G12</f>
        <v>430</v>
      </c>
      <c r="S23" s="312">
        <f>1-(Q23/N23)</f>
        <v>5.1724137931034475E-2</v>
      </c>
      <c r="T23" s="270"/>
      <c r="U23" s="310">
        <f>'4. As-Is Analysis (activities)'!D4+'4. As-Is Analysis (activities)'!D15+'4. As-Is Analysis (activities)'!D16+'4. As-Is Analysis (activities)'!D17</f>
        <v>12</v>
      </c>
      <c r="V23" s="311">
        <f>'7. To-Be Analysis (activities)'!C4+'7. To-Be Analysis (activities)'!C11+'7. To-Be Analysis (activities)'!C12</f>
        <v>7</v>
      </c>
      <c r="W23" s="314">
        <f>U23-V23</f>
        <v>5</v>
      </c>
      <c r="X23" s="270"/>
    </row>
    <row r="24" spans="1:24" x14ac:dyDescent="0.2">
      <c r="B24" s="267"/>
      <c r="C24" s="306" t="s">
        <v>237</v>
      </c>
      <c r="D24" s="270"/>
      <c r="E24" s="307">
        <f>'2. As-Is Analysis (cost)'!I4+'2. As-Is Analysis (cost)'!I15+'2. As-Is Analysis (cost)'!I16+'2. As-Is Analysis (cost)'!I17</f>
        <v>60.84801765151515</v>
      </c>
      <c r="F24" s="307">
        <f>'2. As-Is Analysis (cost)'!J4+'2. As-Is Analysis (cost)'!J15+'2. As-Is Analysis (cost)'!J16+'2. As-Is Analysis (cost)'!J17</f>
        <v>104.53377391414141</v>
      </c>
      <c r="G24" s="307">
        <f>'2. As-Is Analysis (cost)'!K4+'2. As-Is Analysis (cost)'!K15+'2. As-Is Analysis (cost)'!K16+'2. As-Is Analysis (cost)'!K17</f>
        <v>152.90014691919191</v>
      </c>
      <c r="H24" s="308">
        <f>'5. To-Be Analysis (cost)'!H4+'5. To-Be Analysis (cost)'!H11+'5. To-Be Analysis (cost)'!H12</f>
        <v>46.806167424242425</v>
      </c>
      <c r="I24" s="307">
        <f>'5. To-Be Analysis (cost)'!I4+'5. To-Be Analysis (cost)'!I11+'5. To-Be Analysis (cost)'!I12</f>
        <v>85.811306944444453</v>
      </c>
      <c r="J24" s="307">
        <f>'5. To-Be Analysis (cost)'!J4+'5. To-Be Analysis (cost)'!J11+'5. To-Be Analysis (cost)'!J12</f>
        <v>134.17767994949497</v>
      </c>
      <c r="K24" s="309">
        <f>1-(I24/F24)</f>
        <v>0.17910447761194015</v>
      </c>
      <c r="L24" s="270"/>
      <c r="M24" s="310">
        <f>'3. As-Is Analysis (time)'!I4+'3. As-Is Analysis (time)'!I15+'3. As-Is Analysis (time)'!I16+'3. As-Is Analysis (time)'!I17</f>
        <v>195</v>
      </c>
      <c r="N24" s="310">
        <f>'3. As-Is Analysis (time)'!J4+'3. As-Is Analysis (time)'!J15+'3. As-Is Analysis (time)'!J16+'3. As-Is Analysis (time)'!J17</f>
        <v>335</v>
      </c>
      <c r="O24" s="310">
        <f>'3. As-Is Analysis (time)'!K4+'3. As-Is Analysis (time)'!K15+'3. As-Is Analysis (time)'!K16+'3. As-Is Analysis (time)'!K17</f>
        <v>490</v>
      </c>
      <c r="P24" s="311">
        <f>'6. To-Be Analysis (time)'!H4+'6. To-Be Analysis (time)'!H11+'6. To-Be Analysis (time)'!H12</f>
        <v>150</v>
      </c>
      <c r="Q24" s="310">
        <f>'6. To-Be Analysis (time)'!I4+'6. To-Be Analysis (time)'!I11+'6. To-Be Analysis (time)'!I12</f>
        <v>275</v>
      </c>
      <c r="R24" s="310">
        <f>'6. To-Be Analysis (time)'!J4+'6. To-Be Analysis (time)'!J11+'6. To-Be Analysis (time)'!J12</f>
        <v>430</v>
      </c>
      <c r="S24" s="312">
        <f>1-(Q24/N24)</f>
        <v>0.17910447761194026</v>
      </c>
      <c r="T24" s="270"/>
      <c r="U24" s="310">
        <f>'4. As-Is Analysis (activities)'!E4+'4. As-Is Analysis (activities)'!E15+'4. As-Is Analysis (activities)'!E16+'4. As-Is Analysis (activities)'!E17</f>
        <v>12</v>
      </c>
      <c r="V24" s="311">
        <f>'7. To-Be Analysis (activities)'!D4+'7. To-Be Analysis (activities)'!D11+'7. To-Be Analysis (activities)'!D12</f>
        <v>7</v>
      </c>
      <c r="W24" s="314">
        <f>U24-V24</f>
        <v>5</v>
      </c>
      <c r="X24" s="270"/>
    </row>
    <row r="25" spans="1:24" ht="13.5" thickBot="1" x14ac:dyDescent="0.25">
      <c r="A25" s="315"/>
      <c r="B25" s="315"/>
      <c r="C25" s="316" t="s">
        <v>238</v>
      </c>
      <c r="D25" s="321"/>
      <c r="E25" s="318">
        <f>'2. As-Is Analysis (cost)'!L4+'2. As-Is Analysis (cost)'!L15+'2. As-Is Analysis (cost)'!L16+'2. As-Is Analysis (cost)'!L17</f>
        <v>42.820778535353533</v>
      </c>
      <c r="F25" s="318">
        <f>'2. As-Is Analysis (cost)'!M4+'2. As-Is Analysis (cost)'!M15+'2. As-Is Analysis (cost)'!M16+'2. As-Is Analysis (cost)'!M17</f>
        <v>79.058468030303032</v>
      </c>
      <c r="G25" s="318">
        <f>'2. As-Is Analysis (cost)'!N4+'2. As-Is Analysis (cost)'!N15+'2. As-Is Analysis (cost)'!N16+'2. As-Is Analysis (cost)'!N17</f>
        <v>122.72515752525253</v>
      </c>
      <c r="H25" s="319">
        <f>'5. To-Be Analysis (cost)'!K4+'5. To-Be Analysis (cost)'!K11+'5. To-Be Analysis (cost)'!K12</f>
        <v>41.009466969696973</v>
      </c>
      <c r="I25" s="318">
        <f>'5. To-Be Analysis (cost)'!L4+'5. To-Be Analysis (cost)'!L11+'5. To-Be Analysis (cost)'!L12</f>
        <v>74.539944949494952</v>
      </c>
      <c r="J25" s="318">
        <f>'5. To-Be Analysis (cost)'!M4+'5. To-Be Analysis (cost)'!M11+'5. To-Be Analysis (cost)'!M12</f>
        <v>115.49942292929293</v>
      </c>
      <c r="K25" s="320">
        <f>1-(I25/F25)</f>
        <v>5.7154194779946099E-2</v>
      </c>
      <c r="L25" s="321"/>
      <c r="M25" s="322">
        <f>'3. As-Is Analysis (time)'!L4+'3. As-Is Analysis (time)'!L15+'3. As-Is Analysis (time)'!L16+'3. As-Is Analysis (time)'!L17</f>
        <v>165</v>
      </c>
      <c r="N25" s="322">
        <f>'3. As-Is Analysis (time)'!M4+'3. As-Is Analysis (time)'!M15+'3. As-Is Analysis (time)'!M16+'3. As-Is Analysis (time)'!M17</f>
        <v>305</v>
      </c>
      <c r="O25" s="322">
        <f>'3. As-Is Analysis (time)'!N4+'3. As-Is Analysis (time)'!N15+'3. As-Is Analysis (time)'!N16+'3. As-Is Analysis (time)'!N17</f>
        <v>475</v>
      </c>
      <c r="P25" s="346">
        <f>'6. To-Be Analysis (time)'!K4+'6. To-Be Analysis (time)'!K11+'6. To-Be Analysis (time)'!K12</f>
        <v>150</v>
      </c>
      <c r="Q25" s="347">
        <f>'6. To-Be Analysis (time)'!L4+'6. To-Be Analysis (time)'!L11+'6. To-Be Analysis (time)'!L12</f>
        <v>275</v>
      </c>
      <c r="R25" s="347">
        <f>'6. To-Be Analysis (time)'!M4+'6. To-Be Analysis (time)'!M11+'6. To-Be Analysis (time)'!M12</f>
        <v>430</v>
      </c>
      <c r="S25" s="324">
        <f>1-(Q25/N25)</f>
        <v>9.8360655737704916E-2</v>
      </c>
      <c r="T25" s="321"/>
      <c r="U25" s="322">
        <f>'4. As-Is Analysis (activities)'!F4+'4. As-Is Analysis (activities)'!F15+'4. As-Is Analysis (activities)'!F16+'4. As-Is Analysis (activities)'!F17</f>
        <v>13</v>
      </c>
      <c r="V25" s="323">
        <f>'7. To-Be Analysis (activities)'!E4+'7. To-Be Analysis (activities)'!E11+'7. To-Be Analysis (activities)'!E12</f>
        <v>7</v>
      </c>
      <c r="W25" s="326">
        <f>U25-V25</f>
        <v>6</v>
      </c>
      <c r="X25" s="321"/>
    </row>
    <row r="26" spans="1:24" s="367" customFormat="1" ht="13.5" thickTop="1" x14ac:dyDescent="0.2">
      <c r="A26" s="327"/>
      <c r="B26" s="327"/>
      <c r="C26" s="328" t="s">
        <v>427</v>
      </c>
      <c r="D26" s="333"/>
      <c r="E26" s="330">
        <f>AVERAGE(E22:E25)</f>
        <v>57.128120340909085</v>
      </c>
      <c r="F26" s="330">
        <f t="shared" ref="F26:G26" si="12">AVERAGE(F22:F25)</f>
        <v>98.958669589646462</v>
      </c>
      <c r="G26" s="330">
        <f t="shared" si="12"/>
        <v>148.10718837121212</v>
      </c>
      <c r="H26" s="348">
        <f>AVERAGE(H22:H25)</f>
        <v>45.35699231060606</v>
      </c>
      <c r="I26" s="349">
        <f t="shared" ref="I26:J26" si="13">AVERAGE(I22:I25)</f>
        <v>82.993466445707071</v>
      </c>
      <c r="J26" s="349">
        <f t="shared" si="13"/>
        <v>129.50811569444446</v>
      </c>
      <c r="K26" s="332">
        <f>1-(I26/F26)</f>
        <v>0.16133203093920478</v>
      </c>
      <c r="L26" s="333"/>
      <c r="M26" s="334">
        <f>AVERAGE(M22:M25)</f>
        <v>176.25</v>
      </c>
      <c r="N26" s="334">
        <f t="shared" ref="N26:O26" si="14">AVERAGE(N22:N25)</f>
        <v>302.5</v>
      </c>
      <c r="O26" s="334">
        <f t="shared" si="14"/>
        <v>450</v>
      </c>
      <c r="P26" s="340">
        <f>AVERAGE(P22:P25)</f>
        <v>150</v>
      </c>
      <c r="Q26" s="334">
        <f t="shared" ref="Q26:R26" si="15">AVERAGE(Q22:Q25)</f>
        <v>275</v>
      </c>
      <c r="R26" s="334">
        <f t="shared" si="15"/>
        <v>430</v>
      </c>
      <c r="S26" s="337">
        <f>1-(Q26/N26)</f>
        <v>9.0909090909090939E-2</v>
      </c>
      <c r="T26" s="333"/>
      <c r="U26" s="334">
        <f>AVERAGE(U22:U25)</f>
        <v>12.75</v>
      </c>
      <c r="V26" s="335">
        <f>AVERAGE(V22:V25)</f>
        <v>7</v>
      </c>
      <c r="W26" s="339">
        <f>U26-V26</f>
        <v>5.75</v>
      </c>
      <c r="X26" s="333"/>
    </row>
    <row r="27" spans="1:24" x14ac:dyDescent="0.2">
      <c r="P27" s="310"/>
      <c r="Q27" s="310"/>
      <c r="R27" s="310"/>
      <c r="S27" s="310"/>
    </row>
  </sheetData>
  <mergeCells count="3">
    <mergeCell ref="E1:K1"/>
    <mergeCell ref="M1:S1"/>
    <mergeCell ref="U1:W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19"/>
  <sheetViews>
    <sheetView workbookViewId="0">
      <selection activeCell="C17" sqref="C17"/>
    </sheetView>
  </sheetViews>
  <sheetFormatPr defaultColWidth="9.140625" defaultRowHeight="12.75" x14ac:dyDescent="0.2"/>
  <cols>
    <col min="1" max="1" width="7.28515625" style="1" customWidth="1"/>
    <col min="2" max="2" width="26.42578125" style="95" customWidth="1"/>
    <col min="3" max="17" width="8.42578125" style="1" customWidth="1"/>
    <col min="18" max="16384" width="9.140625" style="1"/>
  </cols>
  <sheetData>
    <row r="1" spans="1:17" x14ac:dyDescent="0.2">
      <c r="A1" s="170" t="s">
        <v>352</v>
      </c>
      <c r="B1" s="225"/>
      <c r="C1" s="382" t="s">
        <v>235</v>
      </c>
      <c r="D1" s="382"/>
      <c r="E1" s="382"/>
      <c r="F1" s="383" t="s">
        <v>236</v>
      </c>
      <c r="G1" s="382"/>
      <c r="H1" s="382"/>
      <c r="I1" s="383" t="s">
        <v>237</v>
      </c>
      <c r="J1" s="382"/>
      <c r="K1" s="384"/>
      <c r="L1" s="383" t="s">
        <v>238</v>
      </c>
      <c r="M1" s="382"/>
      <c r="N1" s="384"/>
      <c r="O1" s="375" t="s">
        <v>374</v>
      </c>
      <c r="P1" s="376"/>
      <c r="Q1" s="377"/>
    </row>
    <row r="2" spans="1:17" x14ac:dyDescent="0.2">
      <c r="A2" s="37"/>
      <c r="B2" s="161"/>
      <c r="C2" s="380" t="s">
        <v>378</v>
      </c>
      <c r="D2" s="381"/>
      <c r="E2" s="381"/>
      <c r="F2" s="380" t="s">
        <v>378</v>
      </c>
      <c r="G2" s="381"/>
      <c r="H2" s="381"/>
      <c r="I2" s="380" t="s">
        <v>378</v>
      </c>
      <c r="J2" s="381"/>
      <c r="K2" s="381"/>
      <c r="L2" s="380" t="s">
        <v>378</v>
      </c>
      <c r="M2" s="381"/>
      <c r="N2" s="381"/>
      <c r="O2" s="378" t="s">
        <v>378</v>
      </c>
      <c r="P2" s="379"/>
      <c r="Q2" s="379"/>
    </row>
    <row r="3" spans="1:17" x14ac:dyDescent="0.2">
      <c r="A3" s="166" t="s">
        <v>336</v>
      </c>
      <c r="B3" s="227" t="s">
        <v>335</v>
      </c>
      <c r="C3" s="163" t="s">
        <v>169</v>
      </c>
      <c r="D3" s="163" t="s">
        <v>170</v>
      </c>
      <c r="E3" s="165" t="s">
        <v>171</v>
      </c>
      <c r="F3" s="164" t="s">
        <v>169</v>
      </c>
      <c r="G3" s="163" t="s">
        <v>170</v>
      </c>
      <c r="H3" s="165" t="s">
        <v>171</v>
      </c>
      <c r="I3" s="164" t="s">
        <v>169</v>
      </c>
      <c r="J3" s="163" t="s">
        <v>170</v>
      </c>
      <c r="K3" s="165" t="s">
        <v>171</v>
      </c>
      <c r="L3" s="171" t="s">
        <v>169</v>
      </c>
      <c r="M3" s="162" t="s">
        <v>170</v>
      </c>
      <c r="N3" s="169" t="s">
        <v>171</v>
      </c>
      <c r="O3" s="256" t="s">
        <v>375</v>
      </c>
      <c r="P3" s="257" t="s">
        <v>376</v>
      </c>
      <c r="Q3" s="258" t="s">
        <v>377</v>
      </c>
    </row>
    <row r="4" spans="1:17" s="51" customFormat="1" x14ac:dyDescent="0.2">
      <c r="A4" s="75" t="s">
        <v>346</v>
      </c>
      <c r="B4" s="137" t="s">
        <v>306</v>
      </c>
      <c r="C4" s="115">
        <f>'9. UNICEF (as-is)'!H5</f>
        <v>18.749705681818181</v>
      </c>
      <c r="D4" s="115">
        <f>'9. UNICEF (as-is)'!I5</f>
        <v>37.499411363636362</v>
      </c>
      <c r="E4" s="115">
        <f>'9. UNICEF (as-is)'!J5</f>
        <v>60.929733787878789</v>
      </c>
      <c r="F4" s="125">
        <f>'10. FAO (as-is)'!H5</f>
        <v>6.2408223232323232</v>
      </c>
      <c r="G4" s="115">
        <f>'10. FAO (as-is)'!I5</f>
        <v>12.481644646464646</v>
      </c>
      <c r="H4" s="121">
        <f>'10. FAO (as-is)'!J5</f>
        <v>23.403083712121212</v>
      </c>
      <c r="I4" s="125">
        <f>'12. UNDP (as-is)'!H4</f>
        <v>4.6806167424242426</v>
      </c>
      <c r="J4" s="115">
        <f>'12. UNDP (as-is)'!I4</f>
        <v>9.3612334848484853</v>
      </c>
      <c r="K4" s="115">
        <f>'12. UNDP (as-is)'!J4</f>
        <v>18.722466969696971</v>
      </c>
      <c r="L4" s="125">
        <f>'11. WFP (as-is)'!H4</f>
        <v>3.7145000000000001</v>
      </c>
      <c r="M4" s="115">
        <f>'11. WFP (as-is)'!I4</f>
        <v>7.4290000000000003</v>
      </c>
      <c r="N4" s="115">
        <f>'11. WFP (as-is)'!J4</f>
        <v>14.858000000000001</v>
      </c>
      <c r="O4" s="125">
        <f>AVERAGE(C4,F4,I4,L4)</f>
        <v>8.3464111868686857</v>
      </c>
      <c r="P4" s="115">
        <f t="shared" ref="P4:Q17" si="0">AVERAGE(D4,G4,J4,M4)</f>
        <v>16.692822373737371</v>
      </c>
      <c r="Q4" s="121">
        <f t="shared" si="0"/>
        <v>29.478321117424244</v>
      </c>
    </row>
    <row r="5" spans="1:17" s="51" customFormat="1" x14ac:dyDescent="0.2">
      <c r="A5" s="75" t="s">
        <v>238</v>
      </c>
      <c r="B5" s="138" t="s">
        <v>225</v>
      </c>
      <c r="C5" s="190"/>
      <c r="D5" s="190"/>
      <c r="E5" s="190"/>
      <c r="F5" s="189"/>
      <c r="G5" s="190"/>
      <c r="H5" s="191"/>
      <c r="I5" s="189"/>
      <c r="J5" s="190"/>
      <c r="K5" s="190"/>
      <c r="L5" s="126">
        <f>'11. WFP (as-is)'!H18</f>
        <v>67.13196878787879</v>
      </c>
      <c r="M5" s="112">
        <f>'11. WFP (as-is)'!I18</f>
        <v>113.81289037878788</v>
      </c>
      <c r="N5" s="112">
        <f>'11. WFP (as-is)'!J18</f>
        <v>160.49381196969699</v>
      </c>
      <c r="O5" s="126">
        <f t="shared" ref="O5:O17" si="1">AVERAGE(C5,F5,I5,L5)</f>
        <v>67.13196878787879</v>
      </c>
      <c r="P5" s="112">
        <f t="shared" si="0"/>
        <v>113.81289037878788</v>
      </c>
      <c r="Q5" s="122">
        <f t="shared" si="0"/>
        <v>160.49381196969699</v>
      </c>
    </row>
    <row r="6" spans="1:17" s="51" customFormat="1" x14ac:dyDescent="0.2">
      <c r="A6" s="75" t="s">
        <v>346</v>
      </c>
      <c r="B6" s="157" t="s">
        <v>165</v>
      </c>
      <c r="C6" s="112">
        <f>'9. UNICEF (as-is)'!H15</f>
        <v>182.27627345959593</v>
      </c>
      <c r="D6" s="112">
        <f>'9. UNICEF (as-is)'!I15</f>
        <v>269.03845762626264</v>
      </c>
      <c r="E6" s="112">
        <f>'9. UNICEF (as-is)'!J15</f>
        <v>375.81212260101017</v>
      </c>
      <c r="F6" s="126">
        <f>'10. FAO (as-is)'!H15</f>
        <v>549.60440618686857</v>
      </c>
      <c r="G6" s="112">
        <f>'10. FAO (as-is)'!I15</f>
        <v>758.80930126262626</v>
      </c>
      <c r="H6" s="122">
        <f>'10. FAO (as-is)'!J15</f>
        <v>1003.3310160101009</v>
      </c>
      <c r="I6" s="126">
        <f>'12. UNDP (as-is)'!H14</f>
        <v>158.10591406565655</v>
      </c>
      <c r="J6" s="112">
        <f>'12. UNDP (as-is)'!I14</f>
        <v>236.81131176767678</v>
      </c>
      <c r="K6" s="112">
        <f>'12. UNDP (as-is)'!J14</f>
        <v>339.48362424242424</v>
      </c>
      <c r="L6" s="126">
        <f>'11. WFP (as-is)'!H31</f>
        <v>441.62680383838375</v>
      </c>
      <c r="M6" s="112">
        <f>'11. WFP (as-is)'!I31</f>
        <v>636.69185136363637</v>
      </c>
      <c r="N6" s="112">
        <f>'11. WFP (as-is)'!J31</f>
        <v>839.18589888888891</v>
      </c>
      <c r="O6" s="126">
        <f t="shared" si="1"/>
        <v>332.90334938762618</v>
      </c>
      <c r="P6" s="112">
        <f t="shared" si="0"/>
        <v>475.33773050505056</v>
      </c>
      <c r="Q6" s="122">
        <f t="shared" si="0"/>
        <v>639.45316543560602</v>
      </c>
    </row>
    <row r="7" spans="1:17" s="51" customFormat="1" x14ac:dyDescent="0.2">
      <c r="A7" s="75" t="s">
        <v>346</v>
      </c>
      <c r="B7" s="157" t="s">
        <v>166</v>
      </c>
      <c r="C7" s="112">
        <f>'9. UNICEF (as-is)'!H25</f>
        <v>181.1576152020202</v>
      </c>
      <c r="D7" s="112">
        <f>'9. UNICEF (as-is)'!I25</f>
        <v>283.89645762626265</v>
      </c>
      <c r="E7" s="112">
        <f>'9. UNICEF (as-is)'!J25</f>
        <v>392.6049306313131</v>
      </c>
      <c r="F7" s="126">
        <f>'10. FAO (as-is)'!H25</f>
        <v>504.50196482323224</v>
      </c>
      <c r="G7" s="112">
        <f>'10. FAO (as-is)'!I25</f>
        <v>777.5317682323232</v>
      </c>
      <c r="H7" s="122">
        <f>'10. FAO (as-is)'!J25</f>
        <v>1071.8365410858585</v>
      </c>
      <c r="I7" s="126">
        <f>'12. UNDP (as-is)'!H24</f>
        <v>206.60357467171718</v>
      </c>
      <c r="J7" s="112">
        <f>'12. UNDP (as-is)'!I24</f>
        <v>315.084166010101</v>
      </c>
      <c r="K7" s="112">
        <f>'12. UNDP (as-is)'!J24</f>
        <v>428.52728962121216</v>
      </c>
      <c r="L7" s="126">
        <f>'11. WFP (as-is)'!H44</f>
        <v>538.61706204545453</v>
      </c>
      <c r="M7" s="112">
        <f>'11. WFP (as-is)'!I44</f>
        <v>819.52886777777769</v>
      </c>
      <c r="N7" s="112">
        <f>'11. WFP (as-is)'!J44</f>
        <v>1117.6100251515149</v>
      </c>
      <c r="O7" s="126">
        <f t="shared" si="1"/>
        <v>357.72005418560605</v>
      </c>
      <c r="P7" s="112">
        <f t="shared" si="0"/>
        <v>549.01031491161609</v>
      </c>
      <c r="Q7" s="122">
        <f t="shared" si="0"/>
        <v>752.64469662247473</v>
      </c>
    </row>
    <row r="8" spans="1:17" s="51" customFormat="1" x14ac:dyDescent="0.2">
      <c r="A8" s="75" t="s">
        <v>346</v>
      </c>
      <c r="B8" s="157" t="s">
        <v>167</v>
      </c>
      <c r="C8" s="112">
        <f>'9. UNICEF (as-is)'!H33</f>
        <v>72.296600681818191</v>
      </c>
      <c r="D8" s="112">
        <f>'9. UNICEF (as-is)'!I33</f>
        <v>114.20266497474748</v>
      </c>
      <c r="E8" s="112">
        <f>'9. UNICEF (as-is)'!J33</f>
        <v>161.38343484848485</v>
      </c>
      <c r="F8" s="126">
        <f>'10. FAO (as-is)'!H33</f>
        <v>335.2945061616162</v>
      </c>
      <c r="G8" s="112">
        <f>'10. FAO (as-is)'!I33</f>
        <v>509.18258156565651</v>
      </c>
      <c r="H8" s="122">
        <f>'10. FAO (as-is)'!J33</f>
        <v>689.31147929292922</v>
      </c>
      <c r="I8" s="126">
        <f>'12. UNDP (as-is)'!H32</f>
        <v>132.4475061111111</v>
      </c>
      <c r="J8" s="112">
        <f>'12. UNDP (as-is)'!I32</f>
        <v>212.71310939393939</v>
      </c>
      <c r="K8" s="112">
        <f>'12. UNDP (as-is)'!J32</f>
        <v>292.97871267676766</v>
      </c>
      <c r="L8" s="126">
        <f>'11. WFP (as-is)'!H55</f>
        <v>300.51804234848487</v>
      </c>
      <c r="M8" s="112">
        <f>'11. WFP (as-is)'!I55</f>
        <v>464.36110045454541</v>
      </c>
      <c r="N8" s="112">
        <f>'11. WFP (as-is)'!J55</f>
        <v>629.4423252272727</v>
      </c>
      <c r="O8" s="126">
        <f t="shared" si="1"/>
        <v>210.13916382575758</v>
      </c>
      <c r="P8" s="112">
        <f t="shared" si="0"/>
        <v>325.11486409722215</v>
      </c>
      <c r="Q8" s="122">
        <f t="shared" si="0"/>
        <v>443.27898801136359</v>
      </c>
    </row>
    <row r="9" spans="1:17" s="51" customFormat="1" x14ac:dyDescent="0.2">
      <c r="A9" s="75" t="s">
        <v>235</v>
      </c>
      <c r="B9" s="138" t="s">
        <v>309</v>
      </c>
      <c r="C9" s="113">
        <f>'9. UNICEF (as-is)'!H40</f>
        <v>128.80335825757575</v>
      </c>
      <c r="D9" s="113">
        <f>'9. UNICEF (as-is)'!I40</f>
        <v>238.88424954545451</v>
      </c>
      <c r="E9" s="113">
        <f>'9. UNICEF (as-is)'!J40</f>
        <v>649.62150722222214</v>
      </c>
      <c r="F9" s="189"/>
      <c r="G9" s="190"/>
      <c r="H9" s="191"/>
      <c r="I9" s="189"/>
      <c r="J9" s="190"/>
      <c r="K9" s="190"/>
      <c r="L9" s="189"/>
      <c r="M9" s="190"/>
      <c r="N9" s="190"/>
      <c r="O9" s="126">
        <f t="shared" si="1"/>
        <v>128.80335825757575</v>
      </c>
      <c r="P9" s="112">
        <f t="shared" si="0"/>
        <v>238.88424954545451</v>
      </c>
      <c r="Q9" s="122">
        <f t="shared" si="0"/>
        <v>649.62150722222214</v>
      </c>
    </row>
    <row r="10" spans="1:17" s="51" customFormat="1" x14ac:dyDescent="0.2">
      <c r="A10" s="75" t="s">
        <v>235</v>
      </c>
      <c r="B10" s="138" t="s">
        <v>307</v>
      </c>
      <c r="C10" s="112">
        <f>'9. UNICEF (as-is)'!H46</f>
        <v>35.641096868686866</v>
      </c>
      <c r="D10" s="112">
        <f>'9. UNICEF (as-is)'!I46</f>
        <v>71.282193737373731</v>
      </c>
      <c r="E10" s="112">
        <f>'9. UNICEF (as-is)'!J46</f>
        <v>116.28452409090909</v>
      </c>
      <c r="F10" s="189"/>
      <c r="G10" s="190"/>
      <c r="H10" s="191"/>
      <c r="I10" s="189"/>
      <c r="J10" s="190"/>
      <c r="K10" s="190"/>
      <c r="L10" s="189"/>
      <c r="M10" s="190"/>
      <c r="N10" s="190"/>
      <c r="O10" s="126">
        <f t="shared" si="1"/>
        <v>35.641096868686866</v>
      </c>
      <c r="P10" s="112">
        <f t="shared" si="0"/>
        <v>71.282193737373731</v>
      </c>
      <c r="Q10" s="122">
        <f t="shared" si="0"/>
        <v>116.28452409090909</v>
      </c>
    </row>
    <row r="11" spans="1:17" s="51" customFormat="1" x14ac:dyDescent="0.2">
      <c r="A11" s="75" t="s">
        <v>237</v>
      </c>
      <c r="B11" s="138" t="s">
        <v>344</v>
      </c>
      <c r="C11" s="190"/>
      <c r="D11" s="190"/>
      <c r="E11" s="190"/>
      <c r="F11" s="189"/>
      <c r="G11" s="190"/>
      <c r="H11" s="191"/>
      <c r="I11" s="126">
        <f>'12. UNDP (as-is)'!H40</f>
        <v>78.127029772727269</v>
      </c>
      <c r="J11" s="112">
        <f>'12. UNDP (as-is)'!I40</f>
        <v>144.2420377272727</v>
      </c>
      <c r="K11" s="112">
        <f>'12. UNDP (as-is)'!J40</f>
        <v>210.35704568181819</v>
      </c>
      <c r="L11" s="189"/>
      <c r="M11" s="190"/>
      <c r="N11" s="190"/>
      <c r="O11" s="126">
        <f t="shared" si="1"/>
        <v>78.127029772727269</v>
      </c>
      <c r="P11" s="112">
        <f t="shared" si="0"/>
        <v>144.2420377272727</v>
      </c>
      <c r="Q11" s="122">
        <f t="shared" si="0"/>
        <v>210.35704568181819</v>
      </c>
    </row>
    <row r="12" spans="1:17" s="51" customFormat="1" x14ac:dyDescent="0.2">
      <c r="A12" s="75" t="s">
        <v>237</v>
      </c>
      <c r="B12" s="138" t="s">
        <v>345</v>
      </c>
      <c r="C12" s="190"/>
      <c r="D12" s="190"/>
      <c r="E12" s="190"/>
      <c r="F12" s="189"/>
      <c r="G12" s="190"/>
      <c r="H12" s="191"/>
      <c r="I12" s="126">
        <f>'12. UNDP (as-is)'!H43</f>
        <v>14.041850227272727</v>
      </c>
      <c r="J12" s="112">
        <f>'12. UNDP (as-is)'!I43</f>
        <v>18.722466969696971</v>
      </c>
      <c r="K12" s="112">
        <f>'12. UNDP (as-is)'!J43</f>
        <v>28.083700454545454</v>
      </c>
      <c r="L12" s="189"/>
      <c r="M12" s="190"/>
      <c r="N12" s="190"/>
      <c r="O12" s="126">
        <f t="shared" si="1"/>
        <v>14.041850227272727</v>
      </c>
      <c r="P12" s="112">
        <f t="shared" si="0"/>
        <v>18.722466969696971</v>
      </c>
      <c r="Q12" s="122">
        <f t="shared" si="0"/>
        <v>28.083700454545454</v>
      </c>
    </row>
    <row r="13" spans="1:17" s="51" customFormat="1" x14ac:dyDescent="0.2">
      <c r="A13" s="75" t="s">
        <v>238</v>
      </c>
      <c r="B13" s="138" t="s">
        <v>351</v>
      </c>
      <c r="C13" s="190"/>
      <c r="D13" s="190"/>
      <c r="E13" s="190"/>
      <c r="F13" s="189"/>
      <c r="G13" s="190"/>
      <c r="H13" s="191"/>
      <c r="I13" s="189"/>
      <c r="J13" s="190"/>
      <c r="K13" s="190"/>
      <c r="L13" s="126">
        <f>'11. WFP (as-is)'!H58</f>
        <v>112.37734333333333</v>
      </c>
      <c r="M13" s="112">
        <f>'11. WFP (as-is)'!I58</f>
        <v>168.56601499999999</v>
      </c>
      <c r="N13" s="112">
        <f>'11. WFP (as-is)'!J58</f>
        <v>224.75468666666666</v>
      </c>
      <c r="O13" s="126">
        <f t="shared" si="1"/>
        <v>112.37734333333333</v>
      </c>
      <c r="P13" s="112">
        <f t="shared" si="0"/>
        <v>168.56601499999999</v>
      </c>
      <c r="Q13" s="122">
        <f t="shared" si="0"/>
        <v>224.75468666666666</v>
      </c>
    </row>
    <row r="14" spans="1:17" s="51" customFormat="1" x14ac:dyDescent="0.2">
      <c r="A14" s="75" t="s">
        <v>346</v>
      </c>
      <c r="B14" s="138" t="s">
        <v>308</v>
      </c>
      <c r="C14" s="112">
        <f>'9. UNICEF (as-is)'!H50</f>
        <v>10.921439065656566</v>
      </c>
      <c r="D14" s="112">
        <f>'9. UNICEF (as-is)'!I50</f>
        <v>17.16226138888889</v>
      </c>
      <c r="E14" s="112">
        <f>'9. UNICEF (as-is)'!J50</f>
        <v>23.715124828282828</v>
      </c>
      <c r="F14" s="126">
        <f>'10. FAO (as-is)'!H37</f>
        <v>10.921439065656566</v>
      </c>
      <c r="G14" s="112">
        <f>'10. FAO (as-is)'!I37</f>
        <v>17.16226138888889</v>
      </c>
      <c r="H14" s="122">
        <f>'10. FAO (as-is)'!J37</f>
        <v>23.715124828282828</v>
      </c>
      <c r="I14" s="126">
        <f>'12. UNDP (as-is)'!H47</f>
        <v>10.921439065656566</v>
      </c>
      <c r="J14" s="112">
        <f>'12. UNDP (as-is)'!I47</f>
        <v>17.16226138888889</v>
      </c>
      <c r="K14" s="112">
        <f>'12. UNDP (as-is)'!J47</f>
        <v>23.715124828282828</v>
      </c>
      <c r="L14" s="126">
        <f>'11. WFP (as-is)'!H62</f>
        <v>8.6671666666666667</v>
      </c>
      <c r="M14" s="112">
        <f>'11. WFP (as-is)'!I62</f>
        <v>13.619833333333334</v>
      </c>
      <c r="N14" s="112">
        <f>'11. WFP (as-is)'!J62</f>
        <v>18.820133333333334</v>
      </c>
      <c r="O14" s="126">
        <f t="shared" si="1"/>
        <v>10.357870965909092</v>
      </c>
      <c r="P14" s="112">
        <f t="shared" si="0"/>
        <v>16.276654375</v>
      </c>
      <c r="Q14" s="122">
        <f t="shared" si="0"/>
        <v>22.491376954545455</v>
      </c>
    </row>
    <row r="15" spans="1:17" s="51" customFormat="1" x14ac:dyDescent="0.2">
      <c r="A15" s="75" t="s">
        <v>346</v>
      </c>
      <c r="B15" s="138" t="s">
        <v>157</v>
      </c>
      <c r="C15" s="112">
        <f>'9. UNICEF (as-is)'!H56</f>
        <v>9.3612334848484853</v>
      </c>
      <c r="D15" s="112">
        <f>'9. UNICEF (as-is)'!I56</f>
        <v>17.16226138888889</v>
      </c>
      <c r="E15" s="112">
        <f>'9. UNICEF (as-is)'!J56</f>
        <v>24.963289292929293</v>
      </c>
      <c r="F15" s="126">
        <f>'10. FAO (as-is)'!H43</f>
        <v>15.602055808080808</v>
      </c>
      <c r="G15" s="112">
        <f>'10. FAO (as-is)'!I43</f>
        <v>28.083700454545454</v>
      </c>
      <c r="H15" s="122">
        <f>'10. FAO (as-is)'!J43</f>
        <v>40.565345101010102</v>
      </c>
      <c r="I15" s="126">
        <f>'12. UNDP (as-is)'!H53</f>
        <v>15.602055808080808</v>
      </c>
      <c r="J15" s="112">
        <f>'12. UNDP (as-is)'!I53</f>
        <v>28.083700454545454</v>
      </c>
      <c r="K15" s="112">
        <f>'12. UNDP (as-is)'!J53</f>
        <v>40.565345101010102</v>
      </c>
      <c r="L15" s="126">
        <f>'11. WFP (as-is)'!H68</f>
        <v>14.3429452020202</v>
      </c>
      <c r="M15" s="112">
        <f>'11. WFP (as-is)'!I68</f>
        <v>25.817301363636361</v>
      </c>
      <c r="N15" s="112">
        <f>'11. WFP (as-is)'!J68</f>
        <v>37.291657525252525</v>
      </c>
      <c r="O15" s="126">
        <f t="shared" si="1"/>
        <v>13.727072575757575</v>
      </c>
      <c r="P15" s="112">
        <f t="shared" si="0"/>
        <v>24.786740915404039</v>
      </c>
      <c r="Q15" s="122">
        <f t="shared" si="0"/>
        <v>35.84640925505051</v>
      </c>
    </row>
    <row r="16" spans="1:17" s="51" customFormat="1" x14ac:dyDescent="0.2">
      <c r="A16" s="75" t="s">
        <v>346</v>
      </c>
      <c r="B16" s="138" t="s">
        <v>163</v>
      </c>
      <c r="C16" s="112">
        <f>'9. UNICEF (as-is)'!H64</f>
        <v>24.963289292929293</v>
      </c>
      <c r="D16" s="112">
        <f>'9. UNICEF (as-is)'!I64</f>
        <v>48.366373005050505</v>
      </c>
      <c r="E16" s="112">
        <f>'9. UNICEF (as-is)'!J64</f>
        <v>76.45007345959597</v>
      </c>
      <c r="F16" s="126">
        <f>'10. FAO (as-is)'!H49</f>
        <v>37.444933939393941</v>
      </c>
      <c r="G16" s="112">
        <f>'10. FAO (as-is)'!I49</f>
        <v>49.926578585858586</v>
      </c>
      <c r="H16" s="122">
        <f>'10. FAO (as-is)'!J49</f>
        <v>65.528634393939399</v>
      </c>
      <c r="I16" s="126">
        <f>'12. UNDP (as-is)'!H60</f>
        <v>34.32452277777778</v>
      </c>
      <c r="J16" s="112">
        <f>'12. UNDP (as-is)'!I60</f>
        <v>57.727606489898989</v>
      </c>
      <c r="K16" s="112">
        <f>'12. UNDP (as-is)'!J60</f>
        <v>81.130690202020205</v>
      </c>
      <c r="L16" s="126">
        <f>'11. WFP (as-is)'!H80</f>
        <v>19.81066666666667</v>
      </c>
      <c r="M16" s="112">
        <f>'11. WFP (as-is)'!I80</f>
        <v>38.383166666666675</v>
      </c>
      <c r="N16" s="112">
        <f>'11. WFP (as-is)'!J80</f>
        <v>60.670166666666674</v>
      </c>
      <c r="O16" s="126">
        <f t="shared" si="1"/>
        <v>29.135853169191918</v>
      </c>
      <c r="P16" s="112">
        <f t="shared" si="0"/>
        <v>48.600931186868692</v>
      </c>
      <c r="Q16" s="122">
        <f t="shared" si="0"/>
        <v>70.944891180555558</v>
      </c>
    </row>
    <row r="17" spans="1:17" s="51" customFormat="1" ht="13.5" thickBot="1" x14ac:dyDescent="0.25">
      <c r="A17" s="117" t="s">
        <v>346</v>
      </c>
      <c r="B17" s="139" t="s">
        <v>204</v>
      </c>
      <c r="C17" s="118">
        <f>'9. UNICEF (as-is)'!H68</f>
        <v>6.2408223232323232</v>
      </c>
      <c r="D17" s="118">
        <f>'9. UNICEF (as-is)'!I68</f>
        <v>9.3612334848484853</v>
      </c>
      <c r="E17" s="118">
        <f>'9. UNICEF (as-is)'!J68</f>
        <v>12.481644646464646</v>
      </c>
      <c r="F17" s="128">
        <f>'10. FAO (as-is)'!H53</f>
        <v>6.2408223232323232</v>
      </c>
      <c r="G17" s="118">
        <f>'10. FAO (as-is)'!I53</f>
        <v>9.3612334848484853</v>
      </c>
      <c r="H17" s="124">
        <f>'10. FAO (as-is)'!J53</f>
        <v>12.481644646464646</v>
      </c>
      <c r="I17" s="128">
        <f>'12. UNDP (as-is)'!H64</f>
        <v>6.2408223232323232</v>
      </c>
      <c r="J17" s="118">
        <f>'12. UNDP (as-is)'!I64</f>
        <v>9.3612334848484853</v>
      </c>
      <c r="K17" s="118">
        <f>'12. UNDP (as-is)'!J64</f>
        <v>12.481644646464646</v>
      </c>
      <c r="L17" s="128">
        <f>'11. WFP (as-is)'!H84</f>
        <v>4.9526666666666666</v>
      </c>
      <c r="M17" s="118">
        <f>'11. WFP (as-is)'!I84</f>
        <v>7.4290000000000003</v>
      </c>
      <c r="N17" s="118">
        <f>'11. WFP (as-is)'!J84</f>
        <v>9.9053333333333331</v>
      </c>
      <c r="O17" s="128">
        <f t="shared" si="1"/>
        <v>5.9187834090909091</v>
      </c>
      <c r="P17" s="118">
        <f t="shared" si="0"/>
        <v>8.8781751136363649</v>
      </c>
      <c r="Q17" s="124">
        <f t="shared" si="0"/>
        <v>11.837566818181818</v>
      </c>
    </row>
    <row r="18" spans="1:17" s="51" customFormat="1" ht="13.5" thickTop="1" x14ac:dyDescent="0.2">
      <c r="B18" s="75"/>
      <c r="C18" s="112"/>
      <c r="D18" s="112"/>
      <c r="E18" s="112"/>
      <c r="O18" s="259"/>
      <c r="P18" s="260"/>
      <c r="Q18" s="259"/>
    </row>
    <row r="19" spans="1:17" s="51" customFormat="1" x14ac:dyDescent="0.2">
      <c r="B19" s="90"/>
    </row>
  </sheetData>
  <mergeCells count="10">
    <mergeCell ref="O1:Q1"/>
    <mergeCell ref="O2:Q2"/>
    <mergeCell ref="C2:E2"/>
    <mergeCell ref="C1:E1"/>
    <mergeCell ref="L1:N1"/>
    <mergeCell ref="L2:N2"/>
    <mergeCell ref="I1:K1"/>
    <mergeCell ref="I2:K2"/>
    <mergeCell ref="F1:H1"/>
    <mergeCell ref="F2:H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Q19"/>
  <sheetViews>
    <sheetView topLeftCell="A10" workbookViewId="0"/>
  </sheetViews>
  <sheetFormatPr defaultColWidth="9.140625" defaultRowHeight="12.75" x14ac:dyDescent="0.2"/>
  <cols>
    <col min="1" max="1" width="7.28515625" style="1" customWidth="1"/>
    <col min="2" max="2" width="26.42578125" style="95" customWidth="1"/>
    <col min="3" max="17" width="8.42578125" style="1" customWidth="1"/>
    <col min="18" max="16384" width="9.140625" style="1"/>
  </cols>
  <sheetData>
    <row r="1" spans="1:17" x14ac:dyDescent="0.2">
      <c r="A1" s="168" t="s">
        <v>353</v>
      </c>
      <c r="B1" s="196"/>
      <c r="C1" s="380" t="s">
        <v>235</v>
      </c>
      <c r="D1" s="381"/>
      <c r="E1" s="386"/>
      <c r="F1" s="380" t="s">
        <v>236</v>
      </c>
      <c r="G1" s="381"/>
      <c r="H1" s="386"/>
      <c r="I1" s="380" t="s">
        <v>237</v>
      </c>
      <c r="J1" s="381"/>
      <c r="K1" s="386"/>
      <c r="L1" s="380" t="s">
        <v>238</v>
      </c>
      <c r="M1" s="381"/>
      <c r="N1" s="386"/>
      <c r="O1" s="375" t="s">
        <v>374</v>
      </c>
      <c r="P1" s="376"/>
      <c r="Q1" s="377"/>
    </row>
    <row r="2" spans="1:17" x14ac:dyDescent="0.2">
      <c r="A2" s="196"/>
      <c r="B2" s="168"/>
      <c r="C2" s="380" t="s">
        <v>350</v>
      </c>
      <c r="D2" s="381"/>
      <c r="E2" s="386"/>
      <c r="F2" s="380" t="s">
        <v>350</v>
      </c>
      <c r="G2" s="381"/>
      <c r="H2" s="386"/>
      <c r="I2" s="380" t="s">
        <v>350</v>
      </c>
      <c r="J2" s="381"/>
      <c r="K2" s="386"/>
      <c r="L2" s="380" t="s">
        <v>350</v>
      </c>
      <c r="M2" s="381"/>
      <c r="N2" s="386"/>
      <c r="O2" s="378" t="s">
        <v>350</v>
      </c>
      <c r="P2" s="379"/>
      <c r="Q2" s="385"/>
    </row>
    <row r="3" spans="1:17" x14ac:dyDescent="0.2">
      <c r="A3" s="197" t="s">
        <v>336</v>
      </c>
      <c r="B3" s="197" t="s">
        <v>335</v>
      </c>
      <c r="C3" s="171" t="s">
        <v>169</v>
      </c>
      <c r="D3" s="162" t="s">
        <v>170</v>
      </c>
      <c r="E3" s="169" t="s">
        <v>171</v>
      </c>
      <c r="F3" s="171" t="s">
        <v>169</v>
      </c>
      <c r="G3" s="162" t="s">
        <v>170</v>
      </c>
      <c r="H3" s="169" t="s">
        <v>171</v>
      </c>
      <c r="I3" s="171" t="s">
        <v>169</v>
      </c>
      <c r="J3" s="162" t="s">
        <v>170</v>
      </c>
      <c r="K3" s="169" t="s">
        <v>171</v>
      </c>
      <c r="L3" s="171" t="s">
        <v>169</v>
      </c>
      <c r="M3" s="162" t="s">
        <v>170</v>
      </c>
      <c r="N3" s="169" t="s">
        <v>171</v>
      </c>
      <c r="O3" s="256" t="s">
        <v>375</v>
      </c>
      <c r="P3" s="257" t="s">
        <v>376</v>
      </c>
      <c r="Q3" s="258" t="s">
        <v>377</v>
      </c>
    </row>
    <row r="4" spans="1:17" s="51" customFormat="1" x14ac:dyDescent="0.2">
      <c r="A4" s="114" t="s">
        <v>346</v>
      </c>
      <c r="B4" s="114" t="s">
        <v>306</v>
      </c>
      <c r="C4" s="129">
        <f>SUM('9. UNICEF (as-is)'!C3:C4)</f>
        <v>20</v>
      </c>
      <c r="D4" s="116">
        <f>SUM('9. UNICEF (as-is)'!D3:D4)</f>
        <v>40</v>
      </c>
      <c r="E4" s="130">
        <f>SUM('9. UNICEF (as-is)'!E3:E4)</f>
        <v>75</v>
      </c>
      <c r="F4" s="129">
        <f>'10. FAO (as-is)'!C3:C4</f>
        <v>5</v>
      </c>
      <c r="G4" s="116">
        <f>'10. FAO (as-is)'!D3:D4</f>
        <v>10</v>
      </c>
      <c r="H4" s="130">
        <f>'10. FAO (as-is)'!E3:E4</f>
        <v>15</v>
      </c>
      <c r="I4" s="129">
        <f>'12. UNDP (as-is)'!C3</f>
        <v>15</v>
      </c>
      <c r="J4" s="116">
        <f>'12. UNDP (as-is)'!D3</f>
        <v>30</v>
      </c>
      <c r="K4" s="130">
        <f>'12. UNDP (as-is)'!E3</f>
        <v>60</v>
      </c>
      <c r="L4" s="129">
        <f>SUM('11. WFP (as-is)'!C3)</f>
        <v>15</v>
      </c>
      <c r="M4" s="116">
        <f>SUM('11. WFP (as-is)'!D3)</f>
        <v>30</v>
      </c>
      <c r="N4" s="116">
        <f>SUM('11. WFP (as-is)'!E3)</f>
        <v>60</v>
      </c>
      <c r="O4" s="261">
        <f>AVERAGE(C4,F4,I4,L4)</f>
        <v>13.75</v>
      </c>
      <c r="P4" s="262">
        <f t="shared" ref="P4:Q4" si="0">AVERAGE(D4,G4,J4,M4)</f>
        <v>27.5</v>
      </c>
      <c r="Q4" s="263">
        <f t="shared" si="0"/>
        <v>52.5</v>
      </c>
    </row>
    <row r="5" spans="1:17" s="51" customFormat="1" x14ac:dyDescent="0.2">
      <c r="A5" s="75" t="s">
        <v>238</v>
      </c>
      <c r="B5" s="75" t="s">
        <v>225</v>
      </c>
      <c r="C5" s="198"/>
      <c r="D5" s="199"/>
      <c r="E5" s="200"/>
      <c r="F5" s="198"/>
      <c r="G5" s="199"/>
      <c r="H5" s="200"/>
      <c r="I5" s="198"/>
      <c r="J5" s="199"/>
      <c r="K5" s="200"/>
      <c r="L5" s="131">
        <f>SUM('11. WFP (as-is)'!C11:C17)</f>
        <v>95</v>
      </c>
      <c r="M5" s="111">
        <f>SUM('11. WFP (as-is)'!D11:D17)</f>
        <v>160</v>
      </c>
      <c r="N5" s="111">
        <f>SUM('11. WFP (as-is)'!E11:E17)</f>
        <v>225</v>
      </c>
      <c r="O5" s="264">
        <f t="shared" ref="O5:O17" si="1">AVERAGE(C5,F5,I5,L5)</f>
        <v>95</v>
      </c>
      <c r="P5" s="265">
        <f t="shared" ref="P5:P17" si="2">AVERAGE(D5,G5,J5,M5)</f>
        <v>160</v>
      </c>
      <c r="Q5" s="266">
        <f t="shared" ref="Q5:Q17" si="3">AVERAGE(E5,H5,K5,N5)</f>
        <v>225</v>
      </c>
    </row>
    <row r="6" spans="1:17" s="51" customFormat="1" x14ac:dyDescent="0.2">
      <c r="A6" s="75" t="s">
        <v>346</v>
      </c>
      <c r="B6" s="158" t="s">
        <v>165</v>
      </c>
      <c r="C6" s="131">
        <f>'9. UNICEF (as-is)'!C7+'9. UNICEF (as-is)'!C8+'9. UNICEF (as-is)'!C9+'9. UNICEF (as-is)'!C10+'9. UNICEF (as-is)'!C11*3+'9. UNICEF (as-is)'!C12*3+'9. UNICEF (as-is)'!C13+'9. UNICEF (as-is)'!C14*3</f>
        <v>485</v>
      </c>
      <c r="D6" s="111">
        <f>'9. UNICEF (as-is)'!D7+'9. UNICEF (as-is)'!D8+'9. UNICEF (as-is)'!D9+'9. UNICEF (as-is)'!D10+'9. UNICEF (as-is)'!D11*3+'9. UNICEF (as-is)'!D12*3+'9. UNICEF (as-is)'!D13+'9. UNICEF (as-is)'!D14*3</f>
        <v>730</v>
      </c>
      <c r="E6" s="132">
        <f>'9. UNICEF (as-is)'!E7+'9. UNICEF (as-is)'!E8+'9. UNICEF (as-is)'!E9+'9. UNICEF (as-is)'!E10+'9. UNICEF (as-is)'!E11*3+'9. UNICEF (as-is)'!E12*3+'9. UNICEF (as-is)'!E13+'9. UNICEF (as-is)'!E14*3</f>
        <v>1035</v>
      </c>
      <c r="F6" s="131">
        <f>'10. FAO (as-is)'!C7+'10. FAO (as-is)'!C8+'10. FAO (as-is)'!C9+'10. FAO (as-is)'!C10+'10. FAO (as-is)'!C11*5+'10. FAO (as-is)'!C12*5+'10. FAO (as-is)'!C13+'10. FAO (as-is)'!C14*5</f>
        <v>725</v>
      </c>
      <c r="G6" s="111">
        <f>'10. FAO (as-is)'!D7+'10. FAO (as-is)'!D8+'10. FAO (as-is)'!D9+'10. FAO (as-is)'!D10+'10. FAO (as-is)'!D11*5+'10. FAO (as-is)'!D12*5+'10. FAO (as-is)'!D13+'10. FAO (as-is)'!D14*5</f>
        <v>1050</v>
      </c>
      <c r="H6" s="132">
        <f>'10. FAO (as-is)'!E7+'10. FAO (as-is)'!E8+'10. FAO (as-is)'!E9+'10. FAO (as-is)'!E10+'10. FAO (as-is)'!E11*5+'10. FAO (as-is)'!E12*5+'10. FAO (as-is)'!E13+'10. FAO (as-is)'!E14*5</f>
        <v>1445</v>
      </c>
      <c r="I6" s="131">
        <f>'12. UNDP (as-is)'!C6+'12. UNDP (as-is)'!C7+'12. UNDP (as-is)'!C8+'12. UNDP (as-is)'!C9+'12. UNDP (as-is)'!C10*3+'12. UNDP (as-is)'!C11*3+'12. UNDP (as-is)'!C12+'12. UNDP (as-is)'!C13*3</f>
        <v>485</v>
      </c>
      <c r="J6" s="111">
        <f>'12. UNDP (as-is)'!D6+'12. UNDP (as-is)'!D7+'12. UNDP (as-is)'!D8+'12. UNDP (as-is)'!D9+'12. UNDP (as-is)'!D10*3+'12. UNDP (as-is)'!D11*3+'12. UNDP (as-is)'!D12+'12. UNDP (as-is)'!D13*3</f>
        <v>730</v>
      </c>
      <c r="K6" s="132">
        <f>'12. UNDP (as-is)'!E6+'12. UNDP (as-is)'!E7+'12. UNDP (as-is)'!E8+'12. UNDP (as-is)'!E9+'12. UNDP (as-is)'!E10*3+'12. UNDP (as-is)'!E11*3+'12. UNDP (as-is)'!E12+'12. UNDP (as-is)'!E13*3</f>
        <v>1050</v>
      </c>
      <c r="L6" s="131">
        <f>'11. WFP (as-is)'!C20+'11. WFP (as-is)'!C21+'11. WFP (as-is)'!C22+'11. WFP (as-is)'!C23+'11. WFP (as-is)'!C24*5+'11. WFP (as-is)'!C25*5+'11. WFP (as-is)'!C26+'11. WFP (as-is)'!C27+'11. WFP (as-is)'!C28+'11. WFP (as-is)'!C29+'11. WFP (as-is)'!C30</f>
        <v>720</v>
      </c>
      <c r="M6" s="111">
        <f>'11. WFP (as-is)'!D20+'11. WFP (as-is)'!D21+'11. WFP (as-is)'!D22+'11. WFP (as-is)'!D23+'11. WFP (as-is)'!D24*5+'11. WFP (as-is)'!D25*5+'11. WFP (as-is)'!D26+'11. WFP (as-is)'!D27+'11. WFP (as-is)'!D28+'11. WFP (as-is)'!D29+'11. WFP (as-is)'!D30</f>
        <v>1065</v>
      </c>
      <c r="N6" s="111">
        <f>'11. WFP (as-is)'!E20+'11. WFP (as-is)'!E21+'11. WFP (as-is)'!E22+'11. WFP (as-is)'!E23+'11. WFP (as-is)'!E24*5+'11. WFP (as-is)'!E25*5+'11. WFP (as-is)'!E26+'11. WFP (as-is)'!E27+'11. WFP (as-is)'!E28+'11. WFP (as-is)'!E29+'11. WFP (as-is)'!E30</f>
        <v>1440</v>
      </c>
      <c r="O6" s="264">
        <f t="shared" si="1"/>
        <v>603.75</v>
      </c>
      <c r="P6" s="265">
        <f t="shared" si="2"/>
        <v>893.75</v>
      </c>
      <c r="Q6" s="266">
        <f t="shared" si="3"/>
        <v>1242.5</v>
      </c>
    </row>
    <row r="7" spans="1:17" s="51" customFormat="1" x14ac:dyDescent="0.2">
      <c r="A7" s="75" t="s">
        <v>346</v>
      </c>
      <c r="B7" s="157" t="s">
        <v>166</v>
      </c>
      <c r="C7" s="111">
        <f>'9. UNICEF (as-is)'!C17+'9. UNICEF (as-is)'!C18+'9. UNICEF (as-is)'!C19+'9. UNICEF (as-is)'!C20*3+'9. UNICEF (as-is)'!C21*3+'9. UNICEF (as-is)'!C22*3+'9. UNICEF (as-is)'!C23+'9. UNICEF (as-is)'!C24*3</f>
        <v>500</v>
      </c>
      <c r="D7" s="111">
        <f>'9. UNICEF (as-is)'!D17+'9. UNICEF (as-is)'!D18+'9. UNICEF (as-is)'!D19+'9. UNICEF (as-is)'!D20*3+'9. UNICEF (as-is)'!D21*3+'9. UNICEF (as-is)'!D22*3+'9. UNICEF (as-is)'!D23+'9. UNICEF (as-is)'!D24*3</f>
        <v>790</v>
      </c>
      <c r="E7" s="132">
        <f>'9. UNICEF (as-is)'!E17+'9. UNICEF (as-is)'!E18+'9. UNICEF (as-is)'!E19+'9. UNICEF (as-is)'!E20*3+'9. UNICEF (as-is)'!E21*3+'9. UNICEF (as-is)'!E22*3+'9. UNICEF (as-is)'!E23+'9. UNICEF (as-is)'!E24*3</f>
        <v>1095</v>
      </c>
      <c r="F7" s="131">
        <f>'10. FAO (as-is)'!C17+'10. FAO (as-is)'!C18+'10. FAO (as-is)'!C19+'10. FAO (as-is)'!C20*5+'10. FAO (as-is)'!C21*5+'10. FAO (as-is)'!C22*5+'10. FAO (as-is)'!C23+'10. FAO (as-is)'!C24*5</f>
        <v>710</v>
      </c>
      <c r="G7" s="111">
        <f>'10. FAO (as-is)'!D17+'10. FAO (as-is)'!D18+'10. FAO (as-is)'!D19+'10. FAO (as-is)'!D20*5+'10. FAO (as-is)'!D21*5+'10. FAO (as-is)'!D22*5+'10. FAO (as-is)'!D23+'10. FAO (as-is)'!D24*5</f>
        <v>1110</v>
      </c>
      <c r="H7" s="132">
        <f>'10. FAO (as-is)'!E17+'10. FAO (as-is)'!E18+'10. FAO (as-is)'!E19+'10. FAO (as-is)'!E20*5+'10. FAO (as-is)'!E21*5+'10. FAO (as-is)'!E22*5+'10. FAO (as-is)'!E23+'10. FAO (as-is)'!E24*5</f>
        <v>1535</v>
      </c>
      <c r="I7" s="131">
        <f>'12. UNDP (as-is)'!C16+'12. UNDP (as-is)'!C17+'12. UNDP (as-is)'!C18+'12. UNDP (as-is)'!C19*3+'12. UNDP (as-is)'!C20*3+'12. UNDP (as-is)'!C21*3+'12. UNDP (as-is)'!C22+'12. UNDP (as-is)'!C23*3</f>
        <v>635</v>
      </c>
      <c r="J7" s="111">
        <f>'12. UNDP (as-is)'!D16+'12. UNDP (as-is)'!D17+'12. UNDP (as-is)'!D18+'12. UNDP (as-is)'!D19*3+'12. UNDP (as-is)'!D20*3+'12. UNDP (as-is)'!D21*3+'12. UNDP (as-is)'!D22+'12. UNDP (as-is)'!D23*3</f>
        <v>970</v>
      </c>
      <c r="K7" s="132">
        <f>'12. UNDP (as-is)'!E16+'12. UNDP (as-is)'!E17+'12. UNDP (as-is)'!E18+'12. UNDP (as-is)'!E19*3+'12. UNDP (as-is)'!E20*3+'12. UNDP (as-is)'!E21*3+'12. UNDP (as-is)'!E22+'12. UNDP (as-is)'!E23*3</f>
        <v>1320</v>
      </c>
      <c r="L7" s="111">
        <f>'11. WFP (as-is)'!C33+'11. WFP (as-is)'!C34+'11. WFP (as-is)'!C35+'11. WFP (as-is)'!C36*5+'11. WFP (as-is)'!C37*5+'11. WFP (as-is)'!C38*5+'11. WFP (as-is)'!C39+'11. WFP (as-is)'!C40+'11. WFP (as-is)'!C41+'11. WFP (as-is)'!C42+'11. WFP (as-is)'!C43</f>
        <v>890</v>
      </c>
      <c r="M7" s="111">
        <f>'11. WFP (as-is)'!D33+'11. WFP (as-is)'!D34+'11. WFP (as-is)'!D35+'11. WFP (as-is)'!D36*5+'11. WFP (as-is)'!D37*5+'11. WFP (as-is)'!D38*5+'11. WFP (as-is)'!D39+'11. WFP (as-is)'!D40+'11. WFP (as-is)'!D41+'11. WFP (as-is)'!D42+'11. WFP (as-is)'!D43</f>
        <v>1360</v>
      </c>
      <c r="N7" s="111">
        <f>'11. WFP (as-is)'!E33+'11. WFP (as-is)'!E34+'11. WFP (as-is)'!E35+'11. WFP (as-is)'!E36*5+'11. WFP (as-is)'!E37*5+'11. WFP (as-is)'!E38*5+'11. WFP (as-is)'!E39+'11. WFP (as-is)'!E40+'11. WFP (as-is)'!E41+'11. WFP (as-is)'!E42+'11. WFP (as-is)'!E43</f>
        <v>1855</v>
      </c>
      <c r="O7" s="264">
        <f t="shared" si="1"/>
        <v>683.75</v>
      </c>
      <c r="P7" s="265">
        <f t="shared" si="2"/>
        <v>1057.5</v>
      </c>
      <c r="Q7" s="266">
        <f t="shared" si="3"/>
        <v>1451.25</v>
      </c>
    </row>
    <row r="8" spans="1:17" s="51" customFormat="1" x14ac:dyDescent="0.2">
      <c r="A8" s="75" t="s">
        <v>346</v>
      </c>
      <c r="B8" s="158" t="s">
        <v>167</v>
      </c>
      <c r="C8" s="131">
        <f>'9. UNICEF (as-is)'!C27+'9. UNICEF (as-is)'!C28+'9. UNICEF (as-is)'!C29+'9. UNICEF (as-is)'!C30*3+'9. UNICEF (as-is)'!C31+'9. UNICEF (as-is)'!C32*3</f>
        <v>210</v>
      </c>
      <c r="D8" s="111">
        <f>'9. UNICEF (as-is)'!D27+'9. UNICEF (as-is)'!D28+'9. UNICEF (as-is)'!D29+'9. UNICEF (as-is)'!D30*3+'9. UNICEF (as-is)'!D31+'9. UNICEF (as-is)'!D32*3</f>
        <v>335</v>
      </c>
      <c r="E8" s="132">
        <f>'9. UNICEF (as-is)'!E27+'9. UNICEF (as-is)'!E28+'9. UNICEF (as-is)'!E29+'9. UNICEF (as-is)'!E30*3+'9. UNICEF (as-is)'!E31+'9. UNICEF (as-is)'!E32*3</f>
        <v>480</v>
      </c>
      <c r="F8" s="131">
        <f>'10. FAO (as-is)'!C27+'10. FAO (as-is)'!C28+'10. FAO (as-is)'!C29+'10. FAO (as-is)'!C30*5+'10. FAO (as-is)'!C31+'10. FAO (as-is)'!C32*5</f>
        <v>470</v>
      </c>
      <c r="G8" s="111">
        <f>'10. FAO (as-is)'!D27+'10. FAO (as-is)'!D28+'10. FAO (as-is)'!D29+'10. FAO (as-is)'!D30*5+'10. FAO (as-is)'!D31+'10. FAO (as-is)'!D32*5</f>
        <v>725</v>
      </c>
      <c r="H8" s="132">
        <f>'10. FAO (as-is)'!E27+'10. FAO (as-is)'!E28+'10. FAO (as-is)'!E29+'10. FAO (as-is)'!E30*5+'10. FAO (as-is)'!E31+'10. FAO (as-is)'!E32*5</f>
        <v>1000</v>
      </c>
      <c r="I8" s="131">
        <f>'12. UNDP (as-is)'!C26+'12. UNDP (as-is)'!C27+'12. UNDP (as-is)'!C28+'12. UNDP (as-is)'!C29+'12. UNDP (as-is)'!C30+'12. UNDP (as-is)'!C31*3</f>
        <v>290</v>
      </c>
      <c r="J8" s="111">
        <f>'12. UNDP (as-is)'!D26+'12. UNDP (as-is)'!D27+'12. UNDP (as-is)'!D28+'12. UNDP (as-is)'!D29+'12. UNDP (as-is)'!D30+'12. UNDP (as-is)'!D31*3</f>
        <v>480</v>
      </c>
      <c r="K8" s="132">
        <f>'12. UNDP (as-is)'!E26+'12. UNDP (as-is)'!E27+'12. UNDP (as-is)'!E28+'12. UNDP (as-is)'!E29+'12. UNDP (as-is)'!E30+'12. UNDP (as-is)'!E31*3</f>
        <v>670</v>
      </c>
      <c r="L8" s="131">
        <f>'11. WFP (as-is)'!C46+'11. WFP (as-is)'!C47+'11. WFP (as-is)'!C48+'11. WFP (as-is)'!C49*5+'11. WFP (as-is)'!C50+'11. WFP (as-is)'!C51+'11. WFP (as-is)'!C52+'11. WFP (as-is)'!C53+'11. WFP (as-is)'!C54</f>
        <v>470</v>
      </c>
      <c r="M8" s="111">
        <f>'11. WFP (as-is)'!D46+'11. WFP (as-is)'!D47+'11. WFP (as-is)'!D48+'11. WFP (as-is)'!D49*5+'11. WFP (as-is)'!D50+'11. WFP (as-is)'!D51+'11. WFP (as-is)'!D52+'11. WFP (as-is)'!D53+'11. WFP (as-is)'!D54</f>
        <v>725</v>
      </c>
      <c r="N8" s="111">
        <f>'11. WFP (as-is)'!E46+'11. WFP (as-is)'!E47+'11. WFP (as-is)'!E48+'11. WFP (as-is)'!E49*5+'11. WFP (as-is)'!E50+'11. WFP (as-is)'!E51+'11. WFP (as-is)'!E52+'11. WFP (as-is)'!E53+'11. WFP (as-is)'!E54</f>
        <v>985</v>
      </c>
      <c r="O8" s="264">
        <f t="shared" si="1"/>
        <v>360</v>
      </c>
      <c r="P8" s="265">
        <f t="shared" si="2"/>
        <v>566.25</v>
      </c>
      <c r="Q8" s="266">
        <f t="shared" si="3"/>
        <v>783.75</v>
      </c>
    </row>
    <row r="9" spans="1:17" s="51" customFormat="1" x14ac:dyDescent="0.2">
      <c r="A9" s="75" t="s">
        <v>235</v>
      </c>
      <c r="B9" s="75" t="s">
        <v>309</v>
      </c>
      <c r="C9" s="133">
        <f>'9. UNICEF (as-is)'!C35+'9. UNICEF (as-is)'!C36+'9. UNICEF (as-is)'!C37+'9. UNICEF (as-is)'!C38+'9. UNICEF (as-is)'!C39*5</f>
        <v>225</v>
      </c>
      <c r="D9" s="119">
        <f>'9. UNICEF (as-is)'!D35+'9. UNICEF (as-is)'!D36+'9. UNICEF (as-is)'!D37+'9. UNICEF (as-is)'!D38+'9. UNICEF (as-is)'!D39*5</f>
        <v>390</v>
      </c>
      <c r="E9" s="134">
        <f>'9. UNICEF (as-is)'!E35+'9. UNICEF (as-is)'!E36+'9. UNICEF (as-is)'!E37+'9. UNICEF (as-is)'!E38+'9. UNICEF (as-is)'!E39*5</f>
        <v>830</v>
      </c>
      <c r="F9" s="198"/>
      <c r="G9" s="199"/>
      <c r="H9" s="200"/>
      <c r="I9" s="198"/>
      <c r="J9" s="199"/>
      <c r="K9" s="200"/>
      <c r="L9" s="198"/>
      <c r="M9" s="199"/>
      <c r="N9" s="199"/>
      <c r="O9" s="264">
        <f t="shared" si="1"/>
        <v>225</v>
      </c>
      <c r="P9" s="265">
        <f t="shared" si="2"/>
        <v>390</v>
      </c>
      <c r="Q9" s="266">
        <f t="shared" si="3"/>
        <v>830</v>
      </c>
    </row>
    <row r="10" spans="1:17" s="51" customFormat="1" x14ac:dyDescent="0.2">
      <c r="A10" s="75" t="s">
        <v>235</v>
      </c>
      <c r="B10" s="75" t="s">
        <v>307</v>
      </c>
      <c r="C10" s="131">
        <f>SUM('9. UNICEF (as-is)'!C42:C45)</f>
        <v>60</v>
      </c>
      <c r="D10" s="111">
        <f>SUM('9. UNICEF (as-is)'!D42:D45)</f>
        <v>120</v>
      </c>
      <c r="E10" s="132">
        <f>SUM('9. UNICEF (as-is)'!E42:E45)</f>
        <v>210</v>
      </c>
      <c r="F10" s="198"/>
      <c r="G10" s="199"/>
      <c r="H10" s="200"/>
      <c r="I10" s="198"/>
      <c r="J10" s="199"/>
      <c r="K10" s="200"/>
      <c r="L10" s="198"/>
      <c r="M10" s="199"/>
      <c r="N10" s="199"/>
      <c r="O10" s="264">
        <f t="shared" si="1"/>
        <v>60</v>
      </c>
      <c r="P10" s="265">
        <f t="shared" si="2"/>
        <v>120</v>
      </c>
      <c r="Q10" s="266">
        <f t="shared" si="3"/>
        <v>210</v>
      </c>
    </row>
    <row r="11" spans="1:17" s="51" customFormat="1" x14ac:dyDescent="0.2">
      <c r="A11" s="75" t="s">
        <v>237</v>
      </c>
      <c r="B11" s="75" t="s">
        <v>344</v>
      </c>
      <c r="C11" s="198"/>
      <c r="D11" s="199"/>
      <c r="E11" s="200"/>
      <c r="F11" s="198"/>
      <c r="G11" s="199"/>
      <c r="H11" s="200"/>
      <c r="I11" s="131">
        <f>'12. UNDP (as-is)'!C34+'12. UNDP (as-is)'!C35+'12. UNDP (as-is)'!C36+'12. UNDP (as-is)'!C37*5+'12. UNDP (as-is)'!C38+'12. UNDP (as-is)'!C39</f>
        <v>160</v>
      </c>
      <c r="J11" s="111">
        <f>'12. UNDP (as-is)'!D34+'12. UNDP (as-is)'!D35+'12. UNDP (as-is)'!D36+'12. UNDP (as-is)'!D37*5+'12. UNDP (as-is)'!D38+'12. UNDP (as-is)'!D39</f>
        <v>290</v>
      </c>
      <c r="K11" s="132">
        <f>'12. UNDP (as-is)'!E34+'12. UNDP (as-is)'!E35+'12. UNDP (as-is)'!E36+'12. UNDP (as-is)'!E37*5+'12. UNDP (as-is)'!E38+'12. UNDP (as-is)'!E39</f>
        <v>420</v>
      </c>
      <c r="L11" s="198"/>
      <c r="M11" s="199"/>
      <c r="N11" s="199"/>
      <c r="O11" s="264">
        <f t="shared" si="1"/>
        <v>160</v>
      </c>
      <c r="P11" s="265">
        <f t="shared" si="2"/>
        <v>290</v>
      </c>
      <c r="Q11" s="266">
        <f t="shared" si="3"/>
        <v>420</v>
      </c>
    </row>
    <row r="12" spans="1:17" s="51" customFormat="1" x14ac:dyDescent="0.2">
      <c r="A12" s="75" t="s">
        <v>237</v>
      </c>
      <c r="B12" s="75" t="s">
        <v>345</v>
      </c>
      <c r="C12" s="198"/>
      <c r="D12" s="199"/>
      <c r="E12" s="200"/>
      <c r="F12" s="198"/>
      <c r="G12" s="199"/>
      <c r="H12" s="200"/>
      <c r="I12" s="131">
        <f>'12. UNDP (as-is)'!C42</f>
        <v>45</v>
      </c>
      <c r="J12" s="111">
        <f>'12. UNDP (as-is)'!D42</f>
        <v>60</v>
      </c>
      <c r="K12" s="132">
        <f>'12. UNDP (as-is)'!E42</f>
        <v>90</v>
      </c>
      <c r="L12" s="198"/>
      <c r="M12" s="199"/>
      <c r="N12" s="199"/>
      <c r="O12" s="264">
        <f t="shared" si="1"/>
        <v>45</v>
      </c>
      <c r="P12" s="265">
        <f t="shared" si="2"/>
        <v>60</v>
      </c>
      <c r="Q12" s="266">
        <f t="shared" si="3"/>
        <v>90</v>
      </c>
    </row>
    <row r="13" spans="1:17" s="51" customFormat="1" x14ac:dyDescent="0.2">
      <c r="A13" s="75" t="s">
        <v>238</v>
      </c>
      <c r="B13" s="75" t="s">
        <v>351</v>
      </c>
      <c r="C13" s="198"/>
      <c r="D13" s="199"/>
      <c r="E13" s="200"/>
      <c r="F13" s="198"/>
      <c r="G13" s="199"/>
      <c r="H13" s="200"/>
      <c r="I13" s="198"/>
      <c r="J13" s="199"/>
      <c r="K13" s="199"/>
      <c r="L13" s="131">
        <f>'11. WFP (as-is)'!C57*6</f>
        <v>180</v>
      </c>
      <c r="M13" s="111">
        <f>'11. WFP (as-is)'!D57*6</f>
        <v>270</v>
      </c>
      <c r="N13" s="111">
        <f>'11. WFP (as-is)'!E57*6</f>
        <v>360</v>
      </c>
      <c r="O13" s="264">
        <f t="shared" si="1"/>
        <v>180</v>
      </c>
      <c r="P13" s="265">
        <f t="shared" si="2"/>
        <v>270</v>
      </c>
      <c r="Q13" s="266">
        <f t="shared" si="3"/>
        <v>360</v>
      </c>
    </row>
    <row r="14" spans="1:17" s="51" customFormat="1" x14ac:dyDescent="0.2">
      <c r="A14" s="75" t="s">
        <v>346</v>
      </c>
      <c r="B14" s="75" t="s">
        <v>308</v>
      </c>
      <c r="C14" s="131">
        <f>SUM('9. UNICEF (as-is)'!C48:C49)</f>
        <v>35</v>
      </c>
      <c r="D14" s="111">
        <f>SUM('9. UNICEF (as-is)'!D48:D49)</f>
        <v>55</v>
      </c>
      <c r="E14" s="132">
        <f>SUM('9. UNICEF (as-is)'!E48:E49)</f>
        <v>76</v>
      </c>
      <c r="F14" s="131">
        <f>SUM('10. FAO (as-is)'!C35:C36)</f>
        <v>35</v>
      </c>
      <c r="G14" s="111">
        <f>SUM('10. FAO (as-is)'!D35:D36)</f>
        <v>55</v>
      </c>
      <c r="H14" s="132">
        <f>SUM('10. FAO (as-is)'!E35:E36)</f>
        <v>76</v>
      </c>
      <c r="I14" s="131">
        <f>SUM('12. UNDP (as-is)'!C45:C46)</f>
        <v>35</v>
      </c>
      <c r="J14" s="111">
        <f>SUM('12. UNDP (as-is)'!D45:D46)</f>
        <v>55</v>
      </c>
      <c r="K14" s="132">
        <f>SUM('12. UNDP (as-is)'!E45:E46)</f>
        <v>76</v>
      </c>
      <c r="L14" s="131">
        <f>SUM('11. WFP (as-is)'!C60:C61)</f>
        <v>35</v>
      </c>
      <c r="M14" s="111">
        <f>SUM('11. WFP (as-is)'!D60:D61)</f>
        <v>55</v>
      </c>
      <c r="N14" s="111">
        <f>SUM('11. WFP (as-is)'!E60:E61)</f>
        <v>76</v>
      </c>
      <c r="O14" s="264">
        <f t="shared" si="1"/>
        <v>35</v>
      </c>
      <c r="P14" s="265">
        <f t="shared" si="2"/>
        <v>55</v>
      </c>
      <c r="Q14" s="266">
        <f t="shared" si="3"/>
        <v>76</v>
      </c>
    </row>
    <row r="15" spans="1:17" s="51" customFormat="1" x14ac:dyDescent="0.2">
      <c r="A15" s="75" t="s">
        <v>346</v>
      </c>
      <c r="B15" s="75" t="s">
        <v>157</v>
      </c>
      <c r="C15" s="131">
        <f>SUM('9. UNICEF (as-is)'!C52:C55)</f>
        <v>30</v>
      </c>
      <c r="D15" s="111">
        <f>SUM('9. UNICEF (as-is)'!D52:D55)</f>
        <v>55</v>
      </c>
      <c r="E15" s="132">
        <f>SUM('9. UNICEF (as-is)'!E52:E55)</f>
        <v>80</v>
      </c>
      <c r="F15" s="131">
        <f>SUM('10. FAO (as-is)'!C39:C42)</f>
        <v>50</v>
      </c>
      <c r="G15" s="111">
        <f>SUM('10. FAO (as-is)'!D39:D42)</f>
        <v>90</v>
      </c>
      <c r="H15" s="132">
        <f>SUM('10. FAO (as-is)'!E39:E42)</f>
        <v>130</v>
      </c>
      <c r="I15" s="131">
        <f>SUM('12. UNDP (as-is)'!C49:C52)</f>
        <v>50</v>
      </c>
      <c r="J15" s="111">
        <f>SUM('12. UNDP (as-is)'!D49:D52)</f>
        <v>90</v>
      </c>
      <c r="K15" s="132">
        <f>SUM('12. UNDP (as-is)'!E49:E52)</f>
        <v>130</v>
      </c>
      <c r="L15" s="131">
        <f>SUM('11. WFP (as-is)'!C64:C67)</f>
        <v>50</v>
      </c>
      <c r="M15" s="111">
        <f>SUM('11. WFP (as-is)'!D64:D67)</f>
        <v>90</v>
      </c>
      <c r="N15" s="111">
        <f>SUM('11. WFP (as-is)'!E64:E67)</f>
        <v>130</v>
      </c>
      <c r="O15" s="264">
        <f t="shared" si="1"/>
        <v>45</v>
      </c>
      <c r="P15" s="265">
        <f t="shared" si="2"/>
        <v>81.25</v>
      </c>
      <c r="Q15" s="266">
        <f t="shared" si="3"/>
        <v>117.5</v>
      </c>
    </row>
    <row r="16" spans="1:17" s="51" customFormat="1" x14ac:dyDescent="0.2">
      <c r="A16" s="75" t="s">
        <v>346</v>
      </c>
      <c r="B16" s="75" t="s">
        <v>163</v>
      </c>
      <c r="C16" s="131">
        <f>SUM('9. UNICEF (as-is)'!C58:C63)</f>
        <v>80</v>
      </c>
      <c r="D16" s="111">
        <f>SUM('9. UNICEF (as-is)'!D58:D63)</f>
        <v>155</v>
      </c>
      <c r="E16" s="132">
        <f>SUM('9. UNICEF (as-is)'!E58:E63)</f>
        <v>245</v>
      </c>
      <c r="F16" s="131">
        <f>SUM('10. FAO (as-is)'!C45:C48)</f>
        <v>120</v>
      </c>
      <c r="G16" s="111">
        <f>SUM('10. FAO (as-is)'!D45:D48)</f>
        <v>160</v>
      </c>
      <c r="H16" s="132">
        <f>SUM('10. FAO (as-is)'!E45:E48)</f>
        <v>210</v>
      </c>
      <c r="I16" s="131">
        <f>SUM('12. UNDP (as-is)'!C55:C59)</f>
        <v>110</v>
      </c>
      <c r="J16" s="111">
        <f>SUM('12. UNDP (as-is)'!D55:D59)</f>
        <v>185</v>
      </c>
      <c r="K16" s="132">
        <f>SUM('12. UNDP (as-is)'!E55:E59)</f>
        <v>260</v>
      </c>
      <c r="L16" s="131">
        <f>SUM('11. WFP (as-is)'!C74:C79)</f>
        <v>80</v>
      </c>
      <c r="M16" s="111">
        <f>SUM('11. WFP (as-is)'!D74:D79)</f>
        <v>155</v>
      </c>
      <c r="N16" s="111">
        <f>SUM('11. WFP (as-is)'!E74:E79)</f>
        <v>245</v>
      </c>
      <c r="O16" s="264">
        <f t="shared" si="1"/>
        <v>97.5</v>
      </c>
      <c r="P16" s="265">
        <f t="shared" si="2"/>
        <v>163.75</v>
      </c>
      <c r="Q16" s="266">
        <f t="shared" si="3"/>
        <v>240</v>
      </c>
    </row>
    <row r="17" spans="1:17" s="51" customFormat="1" ht="13.5" thickBot="1" x14ac:dyDescent="0.25">
      <c r="A17" s="117" t="s">
        <v>346</v>
      </c>
      <c r="B17" s="117" t="s">
        <v>204</v>
      </c>
      <c r="C17" s="135">
        <f>SUM('9. UNICEF (as-is)'!C66:C67)</f>
        <v>20</v>
      </c>
      <c r="D17" s="120">
        <f>SUM('9. UNICEF (as-is)'!D66:D67)</f>
        <v>30</v>
      </c>
      <c r="E17" s="136">
        <f>SUM('9. UNICEF (as-is)'!E66:E67)</f>
        <v>40</v>
      </c>
      <c r="F17" s="135">
        <f>SUM('10. FAO (as-is)'!C51:C52)</f>
        <v>20</v>
      </c>
      <c r="G17" s="120">
        <f>SUM('10. FAO (as-is)'!D51:D52)</f>
        <v>30</v>
      </c>
      <c r="H17" s="136">
        <f>SUM('10. FAO (as-is)'!E51:E52)</f>
        <v>40</v>
      </c>
      <c r="I17" s="135">
        <f>SUM('12. UNDP (as-is)'!C62:C63)</f>
        <v>20</v>
      </c>
      <c r="J17" s="120">
        <f>SUM('12. UNDP (as-is)'!D62:D63)</f>
        <v>30</v>
      </c>
      <c r="K17" s="136">
        <f>SUM('12. UNDP (as-is)'!E62:E63)</f>
        <v>40</v>
      </c>
      <c r="L17" s="135">
        <f>SUM('11. WFP (as-is)'!C82:C83)</f>
        <v>20</v>
      </c>
      <c r="M17" s="120">
        <f>SUM('11. WFP (as-is)'!D82:D83)</f>
        <v>30</v>
      </c>
      <c r="N17" s="120">
        <f>SUM('11. WFP (as-is)'!E82:E83)</f>
        <v>40</v>
      </c>
      <c r="O17" s="135">
        <f t="shared" si="1"/>
        <v>20</v>
      </c>
      <c r="P17" s="120">
        <f t="shared" si="2"/>
        <v>30</v>
      </c>
      <c r="Q17" s="136">
        <f t="shared" si="3"/>
        <v>40</v>
      </c>
    </row>
    <row r="18" spans="1:17" s="51" customFormat="1" ht="13.5" thickTop="1" x14ac:dyDescent="0.2">
      <c r="B18" s="158" t="s">
        <v>380</v>
      </c>
      <c r="C18" s="259">
        <f>SUM(C4:C17)</f>
        <v>1665</v>
      </c>
      <c r="D18" s="259">
        <f t="shared" ref="D18:Q18" si="4">SUM(D4:D17)</f>
        <v>2700</v>
      </c>
      <c r="E18" s="259">
        <f t="shared" si="4"/>
        <v>4166</v>
      </c>
      <c r="F18" s="259">
        <f t="shared" si="4"/>
        <v>2135</v>
      </c>
      <c r="G18" s="259">
        <f t="shared" si="4"/>
        <v>3230</v>
      </c>
      <c r="H18" s="259">
        <f t="shared" si="4"/>
        <v>4451</v>
      </c>
      <c r="I18" s="259">
        <f t="shared" si="4"/>
        <v>1845</v>
      </c>
      <c r="J18" s="259">
        <f t="shared" si="4"/>
        <v>2920</v>
      </c>
      <c r="K18" s="259">
        <f t="shared" si="4"/>
        <v>4116</v>
      </c>
      <c r="L18" s="259">
        <f t="shared" si="4"/>
        <v>2555</v>
      </c>
      <c r="M18" s="259">
        <f t="shared" si="4"/>
        <v>3940</v>
      </c>
      <c r="N18" s="259">
        <f t="shared" si="4"/>
        <v>5416</v>
      </c>
      <c r="O18" s="259">
        <f t="shared" si="4"/>
        <v>2623.75</v>
      </c>
      <c r="P18" s="259">
        <f t="shared" si="4"/>
        <v>4165</v>
      </c>
      <c r="Q18" s="259">
        <f t="shared" si="4"/>
        <v>6138.5</v>
      </c>
    </row>
    <row r="19" spans="1:17" s="51" customFormat="1" x14ac:dyDescent="0.2">
      <c r="B19" s="90"/>
    </row>
  </sheetData>
  <mergeCells count="10">
    <mergeCell ref="O1:Q1"/>
    <mergeCell ref="O2:Q2"/>
    <mergeCell ref="C1:E1"/>
    <mergeCell ref="F1:H1"/>
    <mergeCell ref="I1:K1"/>
    <mergeCell ref="L1:N1"/>
    <mergeCell ref="C2:E2"/>
    <mergeCell ref="F2:H2"/>
    <mergeCell ref="I2:K2"/>
    <mergeCell ref="L2:N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19"/>
  <sheetViews>
    <sheetView workbookViewId="0">
      <selection activeCell="A40" sqref="A40:XFD40"/>
    </sheetView>
  </sheetViews>
  <sheetFormatPr defaultColWidth="9.140625" defaultRowHeight="12.75" x14ac:dyDescent="0.2"/>
  <cols>
    <col min="1" max="1" width="7.28515625" style="1" customWidth="1"/>
    <col min="2" max="2" width="25.85546875" style="95" customWidth="1"/>
    <col min="3" max="6" width="12" style="1" customWidth="1"/>
    <col min="7" max="16384" width="9.140625" style="1"/>
  </cols>
  <sheetData>
    <row r="1" spans="1:6" x14ac:dyDescent="0.2">
      <c r="A1" s="168" t="s">
        <v>354</v>
      </c>
      <c r="B1" s="196"/>
      <c r="C1" s="171" t="s">
        <v>235</v>
      </c>
      <c r="D1" s="171" t="s">
        <v>236</v>
      </c>
      <c r="E1" s="171" t="s">
        <v>237</v>
      </c>
      <c r="F1" s="228" t="s">
        <v>238</v>
      </c>
    </row>
    <row r="2" spans="1:6" ht="12.75" customHeight="1" x14ac:dyDescent="0.2">
      <c r="A2" s="196"/>
      <c r="B2" s="168"/>
      <c r="C2" s="387" t="s">
        <v>357</v>
      </c>
      <c r="D2" s="387" t="s">
        <v>357</v>
      </c>
      <c r="E2" s="387" t="s">
        <v>357</v>
      </c>
      <c r="F2" s="389" t="s">
        <v>357</v>
      </c>
    </row>
    <row r="3" spans="1:6" ht="12.75" customHeight="1" x14ac:dyDescent="0.2">
      <c r="A3" s="197" t="s">
        <v>336</v>
      </c>
      <c r="B3" s="197" t="s">
        <v>335</v>
      </c>
      <c r="C3" s="388"/>
      <c r="D3" s="388"/>
      <c r="E3" s="388"/>
      <c r="F3" s="388"/>
    </row>
    <row r="4" spans="1:6" s="51" customFormat="1" x14ac:dyDescent="0.2">
      <c r="A4" s="114" t="s">
        <v>346</v>
      </c>
      <c r="B4" s="114" t="s">
        <v>306</v>
      </c>
      <c r="C4" s="129">
        <f>'9. UNICEF (as-is)'!B5</f>
        <v>2</v>
      </c>
      <c r="D4" s="129">
        <f>'10. FAO (as-is)'!B5</f>
        <v>2</v>
      </c>
      <c r="E4" s="129">
        <f>'12. UNDP (as-is)'!B4</f>
        <v>1</v>
      </c>
      <c r="F4" s="229">
        <f>'11. WFP (as-is)'!B4</f>
        <v>1</v>
      </c>
    </row>
    <row r="5" spans="1:6" s="51" customFormat="1" x14ac:dyDescent="0.2">
      <c r="A5" s="75" t="s">
        <v>238</v>
      </c>
      <c r="B5" s="75" t="s">
        <v>225</v>
      </c>
      <c r="C5" s="198"/>
      <c r="D5" s="198"/>
      <c r="E5" s="198"/>
      <c r="F5" s="230">
        <f>'11. WFP (as-is)'!B18</f>
        <v>7</v>
      </c>
    </row>
    <row r="6" spans="1:6" s="51" customFormat="1" x14ac:dyDescent="0.2">
      <c r="A6" s="75" t="s">
        <v>346</v>
      </c>
      <c r="B6" s="158" t="s">
        <v>165</v>
      </c>
      <c r="C6" s="131">
        <f>'9. UNICEF (as-is)'!B15</f>
        <v>8</v>
      </c>
      <c r="D6" s="131">
        <f>'10. FAO (as-is)'!B15</f>
        <v>8</v>
      </c>
      <c r="E6" s="131">
        <f>'12. UNDP (as-is)'!B14</f>
        <v>8</v>
      </c>
      <c r="F6" s="230">
        <f>'11. WFP (as-is)'!B31</f>
        <v>11</v>
      </c>
    </row>
    <row r="7" spans="1:6" s="51" customFormat="1" x14ac:dyDescent="0.2">
      <c r="A7" s="75" t="s">
        <v>346</v>
      </c>
      <c r="B7" s="158" t="s">
        <v>166</v>
      </c>
      <c r="C7" s="131">
        <f>'9. UNICEF (as-is)'!B25</f>
        <v>8</v>
      </c>
      <c r="D7" s="131">
        <f>'10. FAO (as-is)'!B25</f>
        <v>8</v>
      </c>
      <c r="E7" s="131">
        <f>'12. UNDP (as-is)'!B24</f>
        <v>8</v>
      </c>
      <c r="F7" s="230">
        <f>'11. WFP (as-is)'!B44</f>
        <v>11</v>
      </c>
    </row>
    <row r="8" spans="1:6" s="51" customFormat="1" x14ac:dyDescent="0.2">
      <c r="A8" s="75" t="s">
        <v>346</v>
      </c>
      <c r="B8" s="158" t="s">
        <v>167</v>
      </c>
      <c r="C8" s="131">
        <f>'9. UNICEF (as-is)'!B33</f>
        <v>6</v>
      </c>
      <c r="D8" s="131">
        <f>'10. FAO (as-is)'!B33</f>
        <v>6</v>
      </c>
      <c r="E8" s="131">
        <f>'12. UNDP (as-is)'!B32</f>
        <v>6</v>
      </c>
      <c r="F8" s="230">
        <f>'11. WFP (as-is)'!B55</f>
        <v>9</v>
      </c>
    </row>
    <row r="9" spans="1:6" s="51" customFormat="1" x14ac:dyDescent="0.2">
      <c r="A9" s="75" t="s">
        <v>235</v>
      </c>
      <c r="B9" s="75" t="s">
        <v>309</v>
      </c>
      <c r="C9" s="133">
        <f>'9. UNICEF (as-is)'!B40</f>
        <v>5</v>
      </c>
      <c r="D9" s="198"/>
      <c r="E9" s="198"/>
      <c r="F9" s="231"/>
    </row>
    <row r="10" spans="1:6" s="51" customFormat="1" x14ac:dyDescent="0.2">
      <c r="A10" s="75" t="s">
        <v>235</v>
      </c>
      <c r="B10" s="75" t="s">
        <v>307</v>
      </c>
      <c r="C10" s="131">
        <f>'9. UNICEF (as-is)'!B46</f>
        <v>4</v>
      </c>
      <c r="D10" s="198"/>
      <c r="E10" s="198"/>
      <c r="F10" s="231"/>
    </row>
    <row r="11" spans="1:6" s="51" customFormat="1" x14ac:dyDescent="0.2">
      <c r="A11" s="75" t="s">
        <v>237</v>
      </c>
      <c r="B11" s="75" t="s">
        <v>344</v>
      </c>
      <c r="C11" s="198"/>
      <c r="D11" s="198"/>
      <c r="E11" s="131">
        <f>'12. UNDP (as-is)'!B40</f>
        <v>6</v>
      </c>
      <c r="F11" s="231"/>
    </row>
    <row r="12" spans="1:6" s="51" customFormat="1" x14ac:dyDescent="0.2">
      <c r="A12" s="75" t="s">
        <v>237</v>
      </c>
      <c r="B12" s="75" t="s">
        <v>345</v>
      </c>
      <c r="C12" s="198"/>
      <c r="D12" s="198"/>
      <c r="E12" s="131">
        <f>'12. UNDP (as-is)'!B43</f>
        <v>1</v>
      </c>
      <c r="F12" s="231"/>
    </row>
    <row r="13" spans="1:6" s="51" customFormat="1" x14ac:dyDescent="0.2">
      <c r="A13" s="75" t="s">
        <v>238</v>
      </c>
      <c r="B13" s="75" t="s">
        <v>351</v>
      </c>
      <c r="C13" s="198"/>
      <c r="D13" s="198"/>
      <c r="E13" s="198"/>
      <c r="F13" s="230">
        <f>'11. WFP (as-is)'!B58</f>
        <v>1</v>
      </c>
    </row>
    <row r="14" spans="1:6" s="51" customFormat="1" x14ac:dyDescent="0.2">
      <c r="A14" s="75" t="s">
        <v>346</v>
      </c>
      <c r="B14" s="75" t="s">
        <v>308</v>
      </c>
      <c r="C14" s="131">
        <f>'9. UNICEF (as-is)'!B50</f>
        <v>2</v>
      </c>
      <c r="D14" s="131">
        <f>'10. FAO (as-is)'!B37</f>
        <v>2</v>
      </c>
      <c r="E14" s="131">
        <f>'12. UNDP (as-is)'!B47</f>
        <v>2</v>
      </c>
      <c r="F14" s="230">
        <f>'11. WFP (as-is)'!B62</f>
        <v>2</v>
      </c>
    </row>
    <row r="15" spans="1:6" s="51" customFormat="1" x14ac:dyDescent="0.2">
      <c r="A15" s="75" t="s">
        <v>346</v>
      </c>
      <c r="B15" s="75" t="s">
        <v>157</v>
      </c>
      <c r="C15" s="131">
        <f>'9. UNICEF (as-is)'!B56</f>
        <v>4</v>
      </c>
      <c r="D15" s="131">
        <f>'10. FAO (as-is)'!B43</f>
        <v>4</v>
      </c>
      <c r="E15" s="131">
        <f>'12. UNDP (as-is)'!B53</f>
        <v>4</v>
      </c>
      <c r="F15" s="230">
        <f>'11. WFP (as-is)'!B68</f>
        <v>4</v>
      </c>
    </row>
    <row r="16" spans="1:6" s="51" customFormat="1" x14ac:dyDescent="0.2">
      <c r="A16" s="75" t="s">
        <v>346</v>
      </c>
      <c r="B16" s="75" t="s">
        <v>163</v>
      </c>
      <c r="C16" s="131">
        <f>'9. UNICEF (as-is)'!B64</f>
        <v>6</v>
      </c>
      <c r="D16" s="131">
        <f>'10. FAO (as-is)'!B49</f>
        <v>4</v>
      </c>
      <c r="E16" s="131">
        <f>'12. UNDP (as-is)'!B60</f>
        <v>5</v>
      </c>
      <c r="F16" s="230">
        <f>'11. WFP (as-is)'!B80</f>
        <v>6</v>
      </c>
    </row>
    <row r="17" spans="1:6" s="51" customFormat="1" ht="13.5" thickBot="1" x14ac:dyDescent="0.25">
      <c r="A17" s="117" t="s">
        <v>346</v>
      </c>
      <c r="B17" s="117" t="s">
        <v>204</v>
      </c>
      <c r="C17" s="135">
        <f>'9. UNICEF (as-is)'!B68</f>
        <v>2</v>
      </c>
      <c r="D17" s="135">
        <f>'10. FAO (as-is)'!B53</f>
        <v>2</v>
      </c>
      <c r="E17" s="135">
        <f>'12. UNDP (as-is)'!B64</f>
        <v>2</v>
      </c>
      <c r="F17" s="232">
        <f>'11. WFP (as-is)'!B84</f>
        <v>2</v>
      </c>
    </row>
    <row r="18" spans="1:6" s="51" customFormat="1" ht="13.5" thickTop="1" x14ac:dyDescent="0.2">
      <c r="B18" s="75"/>
      <c r="C18" s="112"/>
    </row>
    <row r="19" spans="1:6" s="51" customFormat="1" x14ac:dyDescent="0.2">
      <c r="B19" s="90"/>
    </row>
  </sheetData>
  <mergeCells count="4">
    <mergeCell ref="E2:E3"/>
    <mergeCell ref="F2:F3"/>
    <mergeCell ref="C2:C3"/>
    <mergeCell ref="D2: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P15"/>
  <sheetViews>
    <sheetView zoomScaleNormal="100" workbookViewId="0">
      <selection activeCell="A12" sqref="A12"/>
    </sheetView>
  </sheetViews>
  <sheetFormatPr defaultColWidth="9.140625" defaultRowHeight="12.75" x14ac:dyDescent="0.2"/>
  <cols>
    <col min="1" max="1" width="37.7109375" style="1" customWidth="1"/>
    <col min="2" max="2" width="8.7109375" style="1" customWidth="1"/>
    <col min="3" max="4" width="8.140625" style="1" customWidth="1"/>
    <col min="5" max="5" width="7.85546875" style="1" customWidth="1"/>
    <col min="6" max="6" width="7.5703125" style="1" customWidth="1"/>
    <col min="7" max="7" width="8.28515625" style="1" customWidth="1"/>
    <col min="8" max="8" width="8" style="1" customWidth="1"/>
    <col min="9" max="9" width="8.140625" style="1" customWidth="1"/>
    <col min="10" max="10" width="8" style="1" customWidth="1"/>
    <col min="11" max="11" width="8.28515625" style="1" customWidth="1"/>
    <col min="12" max="13" width="8.42578125" style="1" customWidth="1"/>
    <col min="14" max="16384" width="9.140625" style="1"/>
  </cols>
  <sheetData>
    <row r="1" spans="1:16" x14ac:dyDescent="0.2">
      <c r="A1" s="170" t="s">
        <v>359</v>
      </c>
      <c r="B1" s="383" t="s">
        <v>235</v>
      </c>
      <c r="C1" s="382"/>
      <c r="D1" s="382"/>
      <c r="E1" s="383" t="s">
        <v>236</v>
      </c>
      <c r="F1" s="382"/>
      <c r="G1" s="382"/>
      <c r="H1" s="383" t="s">
        <v>237</v>
      </c>
      <c r="I1" s="382"/>
      <c r="J1" s="384"/>
      <c r="K1" s="383" t="s">
        <v>238</v>
      </c>
      <c r="L1" s="382"/>
      <c r="M1" s="384"/>
      <c r="N1" s="375" t="s">
        <v>374</v>
      </c>
      <c r="O1" s="376"/>
      <c r="P1" s="377"/>
    </row>
    <row r="2" spans="1:16" x14ac:dyDescent="0.2">
      <c r="A2" s="170"/>
      <c r="B2" s="380" t="s">
        <v>378</v>
      </c>
      <c r="C2" s="381"/>
      <c r="D2" s="381"/>
      <c r="E2" s="380" t="s">
        <v>378</v>
      </c>
      <c r="F2" s="381"/>
      <c r="G2" s="381"/>
      <c r="H2" s="380" t="s">
        <v>378</v>
      </c>
      <c r="I2" s="381"/>
      <c r="J2" s="381"/>
      <c r="K2" s="380" t="s">
        <v>378</v>
      </c>
      <c r="L2" s="381"/>
      <c r="M2" s="381"/>
      <c r="N2" s="378" t="s">
        <v>378</v>
      </c>
      <c r="O2" s="379"/>
      <c r="P2" s="379"/>
    </row>
    <row r="3" spans="1:16" x14ac:dyDescent="0.2">
      <c r="A3" s="167" t="s">
        <v>335</v>
      </c>
      <c r="B3" s="164" t="s">
        <v>169</v>
      </c>
      <c r="C3" s="163" t="s">
        <v>170</v>
      </c>
      <c r="D3" s="163" t="s">
        <v>171</v>
      </c>
      <c r="E3" s="164" t="s">
        <v>169</v>
      </c>
      <c r="F3" s="163" t="s">
        <v>170</v>
      </c>
      <c r="G3" s="163" t="s">
        <v>171</v>
      </c>
      <c r="H3" s="171" t="s">
        <v>169</v>
      </c>
      <c r="I3" s="94" t="s">
        <v>170</v>
      </c>
      <c r="J3" s="169" t="s">
        <v>171</v>
      </c>
      <c r="K3" s="171" t="s">
        <v>169</v>
      </c>
      <c r="L3" s="162" t="s">
        <v>170</v>
      </c>
      <c r="M3" s="169" t="s">
        <v>171</v>
      </c>
      <c r="N3" s="256" t="s">
        <v>375</v>
      </c>
      <c r="O3" s="257" t="s">
        <v>376</v>
      </c>
      <c r="P3" s="258" t="s">
        <v>377</v>
      </c>
    </row>
    <row r="4" spans="1:16" x14ac:dyDescent="0.2">
      <c r="A4" s="114" t="s">
        <v>306</v>
      </c>
      <c r="B4" s="126">
        <f>'8. To-Be Activity Costing'!I5</f>
        <v>4.6806167424242426</v>
      </c>
      <c r="C4" s="112">
        <f>'8. To-Be Activity Costing'!J5</f>
        <v>9.3612334848484853</v>
      </c>
      <c r="D4" s="122">
        <f>'8. To-Be Activity Costing'!K5</f>
        <v>18.722466969696971</v>
      </c>
      <c r="E4" s="41">
        <f>'8. To-Be Activity Costing'!N5</f>
        <v>4.6806167424242426</v>
      </c>
      <c r="F4" s="41">
        <f>'8. To-Be Activity Costing'!O5</f>
        <v>9.3612334848484853</v>
      </c>
      <c r="G4" s="41">
        <f>'8. To-Be Activity Costing'!P5</f>
        <v>18.722466969696971</v>
      </c>
      <c r="H4" s="173">
        <f>'8. To-Be Activity Costing'!S5</f>
        <v>4.6806167424242426</v>
      </c>
      <c r="I4" s="172">
        <f>'8. To-Be Activity Costing'!T5</f>
        <v>9.3612334848484853</v>
      </c>
      <c r="J4" s="172">
        <f>'8. To-Be Activity Costing'!U5</f>
        <v>18.722466969696971</v>
      </c>
      <c r="K4" s="173">
        <f>'8. To-Be Activity Costing'!X5</f>
        <v>3.7145000000000001</v>
      </c>
      <c r="L4" s="172">
        <f>'8. To-Be Activity Costing'!Y5</f>
        <v>7.4290000000000003</v>
      </c>
      <c r="M4" s="174">
        <f>'8. To-Be Activity Costing'!Z5</f>
        <v>14.858000000000001</v>
      </c>
      <c r="N4" s="173">
        <f>AVERAGE(B4,E4,H4,K4)</f>
        <v>4.4390875568181825</v>
      </c>
      <c r="O4" s="172">
        <f t="shared" ref="O4:P4" si="0">AVERAGE(C4,F4,I4,L4)</f>
        <v>8.8781751136363649</v>
      </c>
      <c r="P4" s="174">
        <f t="shared" si="0"/>
        <v>17.75635022727273</v>
      </c>
    </row>
    <row r="5" spans="1:16" x14ac:dyDescent="0.2">
      <c r="A5" s="158" t="s">
        <v>165</v>
      </c>
      <c r="B5" s="126">
        <f>'8. To-Be Activity Costing'!I15</f>
        <v>182.27627345959593</v>
      </c>
      <c r="C5" s="112">
        <f>'8. To-Be Activity Costing'!J15</f>
        <v>269.03845762626264</v>
      </c>
      <c r="D5" s="122">
        <f>'8. To-Be Activity Costing'!K15</f>
        <v>375.81212260101017</v>
      </c>
      <c r="E5" s="41">
        <f>'8. To-Be Activity Costing'!N15</f>
        <v>549.60440618686857</v>
      </c>
      <c r="F5" s="41">
        <f>'8. To-Be Activity Costing'!O15</f>
        <v>758.80930126262626</v>
      </c>
      <c r="G5" s="41">
        <f>'8. To-Be Activity Costing'!P15</f>
        <v>1003.3310160101009</v>
      </c>
      <c r="H5" s="151">
        <f>'8. To-Be Activity Costing'!S15</f>
        <v>146.85815755759543</v>
      </c>
      <c r="I5" s="96">
        <f>'8. To-Be Activity Costing'!T15</f>
        <v>208.09168415086799</v>
      </c>
      <c r="J5" s="96">
        <f>'8. To-Be Activity Costing'!U15</f>
        <v>287.46450632494862</v>
      </c>
      <c r="K5" s="151">
        <f>'8. To-Be Activity Costing'!X15</f>
        <v>443.01860606060603</v>
      </c>
      <c r="L5" s="96">
        <f>'8. To-Be Activity Costing'!Y15</f>
        <v>611.32758585858585</v>
      </c>
      <c r="M5" s="159">
        <f>'8. To-Be Activity Costing'!Z15</f>
        <v>807.94941729797972</v>
      </c>
      <c r="N5" s="151">
        <f t="shared" ref="N5:N12" si="1">AVERAGE(B5,E5,H5,K5)</f>
        <v>330.43936081616647</v>
      </c>
      <c r="O5" s="96">
        <f t="shared" ref="O5:O12" si="2">AVERAGE(C5,F5,I5,L5)</f>
        <v>461.81675722458567</v>
      </c>
      <c r="P5" s="159">
        <f t="shared" ref="P5:P11" si="3">AVERAGE(D5,G5,J5,M5)</f>
        <v>618.63926555850992</v>
      </c>
    </row>
    <row r="6" spans="1:16" x14ac:dyDescent="0.2">
      <c r="A6" s="158" t="s">
        <v>166</v>
      </c>
      <c r="B6" s="126">
        <f>'8. To-Be Activity Costing'!I25</f>
        <v>181.1576152020202</v>
      </c>
      <c r="C6" s="112">
        <f>'8. To-Be Activity Costing'!J25</f>
        <v>283.89645762626265</v>
      </c>
      <c r="D6" s="122">
        <f>'8. To-Be Activity Costing'!K25</f>
        <v>392.6049306313131</v>
      </c>
      <c r="E6" s="41">
        <f>'8. To-Be Activity Costing'!N25</f>
        <v>504.50196482323224</v>
      </c>
      <c r="F6" s="41">
        <f>'8. To-Be Activity Costing'!O25</f>
        <v>777.5317682323232</v>
      </c>
      <c r="G6" s="41">
        <f>'8. To-Be Activity Costing'!P25</f>
        <v>1071.8365410858585</v>
      </c>
      <c r="H6" s="151">
        <f>'8. To-Be Activity Costing'!S25</f>
        <v>134.0809783080808</v>
      </c>
      <c r="I6" s="96">
        <f>'8. To-Be Activity Costing'!T25</f>
        <v>208.34899414141415</v>
      </c>
      <c r="J6" s="96">
        <f>'8. To-Be Activity Costing'!U25</f>
        <v>289.70357888888884</v>
      </c>
      <c r="K6" s="151">
        <f>'8. To-Be Activity Costing'!X25</f>
        <v>406.36855113636352</v>
      </c>
      <c r="L6" s="96">
        <f>'8. To-Be Activity Costing'!Y25</f>
        <v>626.1855858585858</v>
      </c>
      <c r="M6" s="159">
        <f>'8. To-Be Activity Costing'!Z25</f>
        <v>863.17197222222217</v>
      </c>
      <c r="N6" s="151">
        <f t="shared" si="1"/>
        <v>306.52727736742418</v>
      </c>
      <c r="O6" s="96">
        <f t="shared" si="2"/>
        <v>473.99070146464646</v>
      </c>
      <c r="P6" s="159">
        <f t="shared" si="3"/>
        <v>654.32925570707062</v>
      </c>
    </row>
    <row r="7" spans="1:16" x14ac:dyDescent="0.2">
      <c r="A7" s="158" t="s">
        <v>167</v>
      </c>
      <c r="B7" s="126">
        <f>'8. To-Be Activity Costing'!I33</f>
        <v>120.05364532828283</v>
      </c>
      <c r="C7" s="112">
        <f>'8. To-Be Activity Costing'!J33</f>
        <v>185.83823194444443</v>
      </c>
      <c r="D7" s="122">
        <f>'8. To-Be Activity Costing'!K33</f>
        <v>256.89752414141418</v>
      </c>
      <c r="E7" s="41">
        <f>'8. To-Be Activity Costing'!N33</f>
        <v>335.2945061616162</v>
      </c>
      <c r="F7" s="41">
        <f>'8. To-Be Activity Costing'!O33</f>
        <v>509.18258156565651</v>
      </c>
      <c r="G7" s="41">
        <f>'8. To-Be Activity Costing'!P33</f>
        <v>689.31147929292922</v>
      </c>
      <c r="H7" s="151">
        <f>'8. To-Be Activity Costing'!S33</f>
        <v>115.79105479797981</v>
      </c>
      <c r="I7" s="96">
        <f>'8. To-Be Activity Costing'!T33</f>
        <v>178.29188497474749</v>
      </c>
      <c r="J7" s="96">
        <f>'8. To-Be Activity Costing'!U33</f>
        <v>242.63483626262629</v>
      </c>
      <c r="K7" s="151">
        <f>'8. To-Be Activity Costing'!X33</f>
        <v>270.08692297979798</v>
      </c>
      <c r="L7" s="96">
        <f>'8. To-Be Activity Costing'!Y33</f>
        <v>410.08305113636357</v>
      </c>
      <c r="M7" s="159">
        <f>'8. To-Be Activity Costing'!Z33</f>
        <v>555.03184595959601</v>
      </c>
      <c r="N7" s="151">
        <f t="shared" si="1"/>
        <v>210.30653231691917</v>
      </c>
      <c r="O7" s="96">
        <f t="shared" si="2"/>
        <v>320.84893740530299</v>
      </c>
      <c r="P7" s="159">
        <f t="shared" si="3"/>
        <v>435.96892141414145</v>
      </c>
    </row>
    <row r="8" spans="1:16" x14ac:dyDescent="0.2">
      <c r="A8" s="75" t="s">
        <v>289</v>
      </c>
      <c r="B8" s="127">
        <f>'8. To-Be Activity Costing'!I40</f>
        <v>110.08089128787877</v>
      </c>
      <c r="C8" s="113">
        <f>'8. To-Be Activity Costing'!J40</f>
        <v>210.80054909090907</v>
      </c>
      <c r="D8" s="123">
        <f>'8. To-Be Activity Costing'!K40</f>
        <v>612.17657328282826</v>
      </c>
      <c r="E8" s="192"/>
      <c r="F8" s="192"/>
      <c r="G8" s="192"/>
      <c r="H8" s="151">
        <f>'8. To-Be Activity Costing'!S40</f>
        <v>58.103956818181814</v>
      </c>
      <c r="I8" s="96">
        <f>'8. To-Be Activity Costing'!T40</f>
        <v>110.68155030303029</v>
      </c>
      <c r="J8" s="96">
        <f>'8. To-Be Activity Costing'!U40</f>
        <v>295.25365656565657</v>
      </c>
      <c r="K8" s="151">
        <f>'8. To-Be Activity Costing'!X40</f>
        <v>84.272372121212115</v>
      </c>
      <c r="L8" s="96">
        <f>'8. To-Be Activity Costing'!Y40</f>
        <v>159.18351075757576</v>
      </c>
      <c r="M8" s="159">
        <f>'8. To-Be Activity Costing'!Z40</f>
        <v>440.11977883838381</v>
      </c>
      <c r="N8" s="151">
        <f>AVERAGE(B8,H8,K8)</f>
        <v>84.152406742424247</v>
      </c>
      <c r="O8" s="96">
        <f t="shared" ref="O8:P8" si="4">AVERAGE(C8,I8,L8)</f>
        <v>160.22187005050503</v>
      </c>
      <c r="P8" s="159">
        <f t="shared" si="4"/>
        <v>449.18333622895625</v>
      </c>
    </row>
    <row r="9" spans="1:16" x14ac:dyDescent="0.2">
      <c r="A9" s="75" t="s">
        <v>314</v>
      </c>
      <c r="B9" s="189"/>
      <c r="C9" s="190"/>
      <c r="D9" s="191"/>
      <c r="E9" s="192"/>
      <c r="F9" s="192"/>
      <c r="G9" s="192"/>
      <c r="H9" s="151">
        <f>'8. To-Be Activity Costing'!S43</f>
        <v>4.6806167424242426</v>
      </c>
      <c r="I9" s="96">
        <f>'8. To-Be Activity Costing'!T43</f>
        <v>9.3612334848484853</v>
      </c>
      <c r="J9" s="96">
        <f>'8. To-Be Activity Costing'!U43</f>
        <v>18.722466969696971</v>
      </c>
      <c r="K9" s="193"/>
      <c r="L9" s="194"/>
      <c r="M9" s="195"/>
      <c r="N9" s="151">
        <f t="shared" si="1"/>
        <v>4.6806167424242426</v>
      </c>
      <c r="O9" s="96">
        <f t="shared" si="2"/>
        <v>9.3612334848484853</v>
      </c>
      <c r="P9" s="159">
        <f t="shared" si="3"/>
        <v>18.722466969696971</v>
      </c>
    </row>
    <row r="10" spans="1:16" x14ac:dyDescent="0.2">
      <c r="A10" s="75" t="s">
        <v>308</v>
      </c>
      <c r="B10" s="126">
        <f>'8. To-Be Activity Costing'!I47</f>
        <v>10.921439065656566</v>
      </c>
      <c r="C10" s="112">
        <f>'8. To-Be Activity Costing'!J47</f>
        <v>17.16226138888889</v>
      </c>
      <c r="D10" s="122">
        <f>'8. To-Be Activity Costing'!K47</f>
        <v>23.403083712121212</v>
      </c>
      <c r="E10" s="41">
        <f>'8. To-Be Activity Costing'!N47</f>
        <v>10.921439065656566</v>
      </c>
      <c r="F10" s="41">
        <f>'8. To-Be Activity Costing'!O47</f>
        <v>17.16226138888889</v>
      </c>
      <c r="G10" s="41">
        <f>'8. To-Be Activity Costing'!P47</f>
        <v>23.403083712121212</v>
      </c>
      <c r="H10" s="151">
        <f>'8. To-Be Activity Costing'!S47</f>
        <v>10.921439065656566</v>
      </c>
      <c r="I10" s="96">
        <f>'8. To-Be Activity Costing'!T47</f>
        <v>17.16226138888889</v>
      </c>
      <c r="J10" s="96">
        <f>'8. To-Be Activity Costing'!U47</f>
        <v>23.403083712121212</v>
      </c>
      <c r="K10" s="151">
        <f>'8. To-Be Activity Costing'!X47</f>
        <v>8.6671666666666667</v>
      </c>
      <c r="L10" s="96">
        <f>'8. To-Be Activity Costing'!Y47</f>
        <v>13.619833333333334</v>
      </c>
      <c r="M10" s="159">
        <f>'8. To-Be Activity Costing'!Z47</f>
        <v>18.572500000000002</v>
      </c>
      <c r="N10" s="151">
        <f t="shared" si="1"/>
        <v>10.357870965909092</v>
      </c>
      <c r="O10" s="96">
        <f t="shared" si="2"/>
        <v>16.276654375</v>
      </c>
      <c r="P10" s="159">
        <f t="shared" si="3"/>
        <v>22.19543778409091</v>
      </c>
    </row>
    <row r="11" spans="1:16" x14ac:dyDescent="0.2">
      <c r="A11" s="75" t="s">
        <v>157</v>
      </c>
      <c r="B11" s="126">
        <f>'8. To-Be Activity Costing'!I50</f>
        <v>18.722466969696971</v>
      </c>
      <c r="C11" s="112">
        <f>'8. To-Be Activity Costing'!J50</f>
        <v>31.204111616161619</v>
      </c>
      <c r="D11" s="122">
        <f>'8. To-Be Activity Costing'!K50</f>
        <v>43.685756262626263</v>
      </c>
      <c r="E11" s="151">
        <f>'8. To-Be Activity Costing'!N50</f>
        <v>18.722466969696971</v>
      </c>
      <c r="F11" s="96">
        <f>'8. To-Be Activity Costing'!O50</f>
        <v>31.204111616161619</v>
      </c>
      <c r="G11" s="96">
        <f>'8. To-Be Activity Costing'!P50</f>
        <v>43.685756262626263</v>
      </c>
      <c r="H11" s="151">
        <f>'8. To-Be Activity Costing'!S50</f>
        <v>18.722466969696971</v>
      </c>
      <c r="I11" s="96">
        <f>'8. To-Be Activity Costing'!T50</f>
        <v>31.204111616161619</v>
      </c>
      <c r="J11" s="96">
        <f>'8. To-Be Activity Costing'!U50</f>
        <v>43.685756262626263</v>
      </c>
      <c r="K11" s="151">
        <f>'8. To-Be Activity Costing'!X50</f>
        <v>18.722466969696971</v>
      </c>
      <c r="L11" s="96">
        <f>'8. To-Be Activity Costing'!Y50</f>
        <v>31.204111616161619</v>
      </c>
      <c r="M11" s="159">
        <f>'8. To-Be Activity Costing'!Z50</f>
        <v>43.685756262626263</v>
      </c>
      <c r="N11" s="151">
        <f t="shared" si="1"/>
        <v>18.722466969696971</v>
      </c>
      <c r="O11" s="96">
        <f t="shared" si="2"/>
        <v>31.204111616161619</v>
      </c>
      <c r="P11" s="159">
        <f t="shared" si="3"/>
        <v>43.685756262626263</v>
      </c>
    </row>
    <row r="12" spans="1:16" ht="13.5" thickBot="1" x14ac:dyDescent="0.25">
      <c r="A12" s="117" t="s">
        <v>163</v>
      </c>
      <c r="B12" s="128">
        <f>'8. To-Be Activity Costing'!I57</f>
        <v>23.403083712121212</v>
      </c>
      <c r="C12" s="118">
        <f>'8. To-Be Activity Costing'!J57</f>
        <v>45.245961843434344</v>
      </c>
      <c r="D12" s="124">
        <f>'8. To-Be Activity Costing'!K57</f>
        <v>71.769456717171721</v>
      </c>
      <c r="E12" s="150">
        <f>'8. To-Be Activity Costing'!N57</f>
        <v>23.403083712121212</v>
      </c>
      <c r="F12" s="108">
        <f>'8. To-Be Activity Costing'!O57</f>
        <v>45.245961843434344</v>
      </c>
      <c r="G12" s="108">
        <f>'8. To-Be Activity Costing'!P57</f>
        <v>71.769456717171721</v>
      </c>
      <c r="H12" s="150">
        <f>'8. To-Be Activity Costing'!S57</f>
        <v>23.403083712121212</v>
      </c>
      <c r="I12" s="108">
        <f>'8. To-Be Activity Costing'!T57</f>
        <v>45.245961843434344</v>
      </c>
      <c r="J12" s="108">
        <f>'8. To-Be Activity Costing'!U57</f>
        <v>71.769456717171721</v>
      </c>
      <c r="K12" s="150">
        <f>'8. To-Be Activity Costing'!X57</f>
        <v>18.572500000000002</v>
      </c>
      <c r="L12" s="108">
        <f>'8. To-Be Activity Costing'!Y57</f>
        <v>35.906833333333338</v>
      </c>
      <c r="M12" s="160">
        <f>'8. To-Be Activity Costing'!Z57</f>
        <v>56.955666666666673</v>
      </c>
      <c r="N12" s="150">
        <f t="shared" si="1"/>
        <v>22.19543778409091</v>
      </c>
      <c r="O12" s="108">
        <f t="shared" si="2"/>
        <v>42.911179715909093</v>
      </c>
      <c r="P12" s="160">
        <f>AVERAGE(D12,G12,J12,M12)</f>
        <v>68.066009204545452</v>
      </c>
    </row>
    <row r="13" spans="1:16" ht="13.5" thickTop="1" x14ac:dyDescent="0.2">
      <c r="A13" s="75"/>
      <c r="B13" s="112"/>
      <c r="C13" s="112"/>
      <c r="D13" s="112"/>
    </row>
    <row r="14" spans="1:16" s="51" customFormat="1" x14ac:dyDescent="0.2">
      <c r="E14" s="58"/>
      <c r="F14" s="58"/>
      <c r="G14" s="58"/>
    </row>
    <row r="15" spans="1:16" s="51" customFormat="1" x14ac:dyDescent="0.2">
      <c r="E15" s="58"/>
      <c r="F15" s="58"/>
      <c r="G15" s="58"/>
    </row>
  </sheetData>
  <mergeCells count="10">
    <mergeCell ref="B2:D2"/>
    <mergeCell ref="B1:D1"/>
    <mergeCell ref="E1:G1"/>
    <mergeCell ref="E2:G2"/>
    <mergeCell ref="N1:P1"/>
    <mergeCell ref="N2:P2"/>
    <mergeCell ref="K1:M1"/>
    <mergeCell ref="K2:M2"/>
    <mergeCell ref="H1:J1"/>
    <mergeCell ref="H2:J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sheetPr>
  <dimension ref="A1:S24"/>
  <sheetViews>
    <sheetView topLeftCell="C1" workbookViewId="0"/>
  </sheetViews>
  <sheetFormatPr defaultColWidth="9.140625" defaultRowHeight="12.75" x14ac:dyDescent="0.2"/>
  <cols>
    <col min="1" max="1" width="37.7109375" style="8" customWidth="1"/>
    <col min="2" max="2" width="8.7109375" style="8" customWidth="1"/>
    <col min="3" max="4" width="8.140625" style="8" customWidth="1"/>
    <col min="5" max="5" width="7.85546875" style="8" customWidth="1"/>
    <col min="6" max="6" width="7.5703125" style="8" customWidth="1"/>
    <col min="7" max="7" width="8.28515625" style="8" customWidth="1"/>
    <col min="8" max="8" width="8" style="8" customWidth="1"/>
    <col min="9" max="9" width="8.140625" style="8" customWidth="1"/>
    <col min="10" max="10" width="8" style="8" customWidth="1"/>
    <col min="11" max="11" width="8.28515625" style="8" customWidth="1"/>
    <col min="12" max="13" width="8.42578125" style="8" customWidth="1"/>
    <col min="14" max="16384" width="9.140625" style="8"/>
  </cols>
  <sheetData>
    <row r="1" spans="1:19" x14ac:dyDescent="0.2">
      <c r="A1" s="168" t="s">
        <v>355</v>
      </c>
      <c r="B1" s="380" t="s">
        <v>235</v>
      </c>
      <c r="C1" s="381"/>
      <c r="D1" s="386"/>
      <c r="E1" s="380" t="s">
        <v>236</v>
      </c>
      <c r="F1" s="381"/>
      <c r="G1" s="386"/>
      <c r="H1" s="380" t="s">
        <v>237</v>
      </c>
      <c r="I1" s="381"/>
      <c r="J1" s="386"/>
      <c r="K1" s="380" t="s">
        <v>238</v>
      </c>
      <c r="L1" s="381"/>
      <c r="M1" s="386"/>
      <c r="N1" s="375" t="s">
        <v>374</v>
      </c>
      <c r="O1" s="376"/>
      <c r="P1" s="377"/>
    </row>
    <row r="2" spans="1:19" x14ac:dyDescent="0.2">
      <c r="A2" s="168"/>
      <c r="B2" s="380" t="s">
        <v>350</v>
      </c>
      <c r="C2" s="381"/>
      <c r="D2" s="386"/>
      <c r="E2" s="380" t="s">
        <v>350</v>
      </c>
      <c r="F2" s="381"/>
      <c r="G2" s="386"/>
      <c r="H2" s="380" t="s">
        <v>350</v>
      </c>
      <c r="I2" s="381"/>
      <c r="J2" s="386"/>
      <c r="K2" s="380" t="s">
        <v>350</v>
      </c>
      <c r="L2" s="381"/>
      <c r="M2" s="386"/>
      <c r="N2" s="378" t="s">
        <v>350</v>
      </c>
      <c r="O2" s="379"/>
      <c r="P2" s="385"/>
    </row>
    <row r="3" spans="1:19" x14ac:dyDescent="0.2">
      <c r="A3" s="197" t="s">
        <v>335</v>
      </c>
      <c r="B3" s="171" t="s">
        <v>169</v>
      </c>
      <c r="C3" s="162" t="s">
        <v>170</v>
      </c>
      <c r="D3" s="169" t="s">
        <v>171</v>
      </c>
      <c r="E3" s="171" t="s">
        <v>169</v>
      </c>
      <c r="F3" s="162" t="s">
        <v>170</v>
      </c>
      <c r="G3" s="169" t="s">
        <v>171</v>
      </c>
      <c r="H3" s="171" t="s">
        <v>169</v>
      </c>
      <c r="I3" s="162" t="s">
        <v>170</v>
      </c>
      <c r="J3" s="169" t="s">
        <v>171</v>
      </c>
      <c r="K3" s="171" t="s">
        <v>169</v>
      </c>
      <c r="L3" s="162" t="s">
        <v>170</v>
      </c>
      <c r="M3" s="169" t="s">
        <v>171</v>
      </c>
      <c r="N3" s="351" t="s">
        <v>375</v>
      </c>
      <c r="O3" s="352" t="s">
        <v>376</v>
      </c>
      <c r="P3" s="353" t="s">
        <v>377</v>
      </c>
    </row>
    <row r="4" spans="1:19" x14ac:dyDescent="0.2">
      <c r="A4" s="114" t="s">
        <v>306</v>
      </c>
      <c r="B4" s="129">
        <f>'8. To-Be Activity Costing'!C4</f>
        <v>15</v>
      </c>
      <c r="C4" s="116">
        <f>'8. To-Be Activity Costing'!D4</f>
        <v>30</v>
      </c>
      <c r="D4" s="130">
        <f>'8. To-Be Activity Costing'!E4</f>
        <v>60</v>
      </c>
      <c r="E4" s="129">
        <f>'8. To-Be Activity Costing'!C4</f>
        <v>15</v>
      </c>
      <c r="F4" s="116">
        <f>'8. To-Be Activity Costing'!D4</f>
        <v>30</v>
      </c>
      <c r="G4" s="130">
        <f>'8. To-Be Activity Costing'!E4</f>
        <v>60</v>
      </c>
      <c r="H4" s="129">
        <f>'8. To-Be Activity Costing'!C4</f>
        <v>15</v>
      </c>
      <c r="I4" s="116">
        <f>'8. To-Be Activity Costing'!D4</f>
        <v>30</v>
      </c>
      <c r="J4" s="130">
        <f>'8. To-Be Activity Costing'!E4</f>
        <v>60</v>
      </c>
      <c r="K4" s="129">
        <f>'8. To-Be Activity Costing'!C4</f>
        <v>15</v>
      </c>
      <c r="L4" s="116">
        <f>'8. To-Be Activity Costing'!D4</f>
        <v>30</v>
      </c>
      <c r="M4" s="130">
        <f>'8. To-Be Activity Costing'!E4</f>
        <v>60</v>
      </c>
      <c r="N4" s="261">
        <f>AVERAGE(B4,E4,H4,K4)</f>
        <v>15</v>
      </c>
      <c r="O4" s="262">
        <f t="shared" ref="O4:P12" si="0">AVERAGE(C4,F4,I4,L4)</f>
        <v>30</v>
      </c>
      <c r="P4" s="263">
        <f t="shared" si="0"/>
        <v>60</v>
      </c>
    </row>
    <row r="5" spans="1:19" x14ac:dyDescent="0.2">
      <c r="A5" s="158" t="s">
        <v>165</v>
      </c>
      <c r="B5" s="131">
        <f>'8. To-Be Activity Costing'!C7+'8. To-Be Activity Costing'!C8+'8. To-Be Activity Costing'!C9+'8. To-Be Activity Costing'!C10+'8. To-Be Activity Costing'!C11*3+'8. To-Be Activity Costing'!C12*3+'8. To-Be Activity Costing'!C13+'8. To-Be Activity Costing'!C14*3</f>
        <v>485</v>
      </c>
      <c r="C5" s="111">
        <f>'8. To-Be Activity Costing'!D7+'8. To-Be Activity Costing'!D8+'8. To-Be Activity Costing'!D9+'8. To-Be Activity Costing'!D10+'8. To-Be Activity Costing'!D11*3+'8. To-Be Activity Costing'!D12*3+'8. To-Be Activity Costing'!D13+'8. To-Be Activity Costing'!D14*3</f>
        <v>730</v>
      </c>
      <c r="D5" s="132">
        <f>'8. To-Be Activity Costing'!E7+'8. To-Be Activity Costing'!E8+'8. To-Be Activity Costing'!E9+'8. To-Be Activity Costing'!E10+'8. To-Be Activity Costing'!E11*3+'8. To-Be Activity Costing'!E12*3+'8. To-Be Activity Costing'!E13+'8. To-Be Activity Costing'!E14*3</f>
        <v>1035</v>
      </c>
      <c r="E5" s="219">
        <f>'8. To-Be Activity Costing'!C7+'8. To-Be Activity Costing'!C8+'8. To-Be Activity Costing'!C9+'8. To-Be Activity Costing'!C10+'8. To-Be Activity Costing'!C11*5+'8. To-Be Activity Costing'!C12*5+'8. To-Be Activity Costing'!C13+'8. To-Be Activity Costing'!C14*5</f>
        <v>725</v>
      </c>
      <c r="F5" s="216">
        <f>'8. To-Be Activity Costing'!D7+'8. To-Be Activity Costing'!D8+'8. To-Be Activity Costing'!D9+'8. To-Be Activity Costing'!D10+'8. To-Be Activity Costing'!D11*5+'8. To-Be Activity Costing'!D12*5+'8. To-Be Activity Costing'!D13+'8. To-Be Activity Costing'!D14*5</f>
        <v>1050</v>
      </c>
      <c r="G5" s="220">
        <f>'8. To-Be Activity Costing'!E7+'8. To-Be Activity Costing'!E8+'8. To-Be Activity Costing'!E9+'8. To-Be Activity Costing'!E10+'8. To-Be Activity Costing'!E11*5+'8. To-Be Activity Costing'!E12*5+'8. To-Be Activity Costing'!E13+'8. To-Be Activity Costing'!E14*5</f>
        <v>1445</v>
      </c>
      <c r="H5" s="219">
        <f>'8. To-Be Activity Costing'!C7+'8. To-Be Activity Costing'!C8+'8. To-Be Activity Costing'!C9+'8. To-Be Activity Costing'!C10+'8. To-Be Activity Costing'!C11*3+'8. To-Be Activity Costing'!C12*3+'8. To-Be Activity Costing'!C13+'8. To-Be Activity Costing'!C14*3</f>
        <v>485</v>
      </c>
      <c r="I5" s="216">
        <f>'8. To-Be Activity Costing'!D7+'8. To-Be Activity Costing'!D8+'8. To-Be Activity Costing'!D9+'8. To-Be Activity Costing'!D10+'8. To-Be Activity Costing'!D11*3+'8. To-Be Activity Costing'!D12*3+'8. To-Be Activity Costing'!D13+'8. To-Be Activity Costing'!D14*3</f>
        <v>730</v>
      </c>
      <c r="J5" s="220">
        <f>'8. To-Be Activity Costing'!E7+'8. To-Be Activity Costing'!E8+'8. To-Be Activity Costing'!E9+'8. To-Be Activity Costing'!E10+'8. To-Be Activity Costing'!E11*3+'8. To-Be Activity Costing'!E12*3+'8. To-Be Activity Costing'!E13+'8. To-Be Activity Costing'!E14*3</f>
        <v>1035</v>
      </c>
      <c r="K5" s="219">
        <f>'8. To-Be Activity Costing'!C7+'8. To-Be Activity Costing'!C8+'8. To-Be Activity Costing'!C9+'8. To-Be Activity Costing'!C10+'8. To-Be Activity Costing'!C11*5+'8. To-Be Activity Costing'!C12*5+'8. To-Be Activity Costing'!C13+'8. To-Be Activity Costing'!C14*5</f>
        <v>725</v>
      </c>
      <c r="L5" s="216">
        <f>'8. To-Be Activity Costing'!D7+'8. To-Be Activity Costing'!D8+'8. To-Be Activity Costing'!D9+'8. To-Be Activity Costing'!D10+'8. To-Be Activity Costing'!D11*5+'8. To-Be Activity Costing'!D12*5+'8. To-Be Activity Costing'!D13+'8. To-Be Activity Costing'!D14*5</f>
        <v>1050</v>
      </c>
      <c r="M5" s="220">
        <f>'8. To-Be Activity Costing'!E7+'8. To-Be Activity Costing'!E8+'8. To-Be Activity Costing'!E9+'8. To-Be Activity Costing'!E10+'8. To-Be Activity Costing'!E11*5+'8. To-Be Activity Costing'!E12*5+'8. To-Be Activity Costing'!E13+'8. To-Be Activity Costing'!E14*5</f>
        <v>1445</v>
      </c>
      <c r="N5" s="264">
        <f t="shared" ref="N5:N12" si="1">AVERAGE(B5,E5,H5,K5)</f>
        <v>605</v>
      </c>
      <c r="O5" s="265">
        <f t="shared" si="0"/>
        <v>890</v>
      </c>
      <c r="P5" s="266">
        <f t="shared" si="0"/>
        <v>1240</v>
      </c>
    </row>
    <row r="6" spans="1:19" x14ac:dyDescent="0.2">
      <c r="A6" s="158" t="s">
        <v>166</v>
      </c>
      <c r="B6" s="131">
        <f>'8. To-Be Activity Costing'!C17+'8. To-Be Activity Costing'!C18+'8. To-Be Activity Costing'!C19+'8. To-Be Activity Costing'!C20*3+'8. To-Be Activity Costing'!C21*3+'8. To-Be Activity Costing'!C22*3+'8. To-Be Activity Costing'!C23+'8. To-Be Activity Costing'!C24*3</f>
        <v>500</v>
      </c>
      <c r="C6" s="111">
        <f>'8. To-Be Activity Costing'!D17+'8. To-Be Activity Costing'!D18+'8. To-Be Activity Costing'!D19+'8. To-Be Activity Costing'!D20*3+'8. To-Be Activity Costing'!D21*3+'8. To-Be Activity Costing'!D22*3+'8. To-Be Activity Costing'!D23+'8. To-Be Activity Costing'!D24*3</f>
        <v>790</v>
      </c>
      <c r="D6" s="132">
        <f>'8. To-Be Activity Costing'!E17+'8. To-Be Activity Costing'!E18+'8. To-Be Activity Costing'!E19+'8. To-Be Activity Costing'!E20*3+'8. To-Be Activity Costing'!E21*3+'8. To-Be Activity Costing'!E22*3+'8. To-Be Activity Costing'!E23+'8. To-Be Activity Costing'!E24*3</f>
        <v>1095</v>
      </c>
      <c r="E6" s="219">
        <f>'8. To-Be Activity Costing'!C17+'8. To-Be Activity Costing'!C18+'8. To-Be Activity Costing'!C19+'8. To-Be Activity Costing'!C20*5+'8. To-Be Activity Costing'!C21*5+'8. To-Be Activity Costing'!C22*5+'8. To-Be Activity Costing'!C23+'8. To-Be Activity Costing'!C24*5</f>
        <v>710</v>
      </c>
      <c r="F6" s="216">
        <f>'8. To-Be Activity Costing'!D17+'8. To-Be Activity Costing'!D18+'8. To-Be Activity Costing'!D19+'8. To-Be Activity Costing'!D20*5+'8. To-Be Activity Costing'!D21*5+'8. To-Be Activity Costing'!D22*5+'8. To-Be Activity Costing'!D23+'8. To-Be Activity Costing'!D24*5</f>
        <v>1110</v>
      </c>
      <c r="G6" s="220">
        <f>'8. To-Be Activity Costing'!E17+'8. To-Be Activity Costing'!E18+'8. To-Be Activity Costing'!E19+'8. To-Be Activity Costing'!E20*5+'8. To-Be Activity Costing'!E21*5+'8. To-Be Activity Costing'!E22*5+'8. To-Be Activity Costing'!E23+'8. To-Be Activity Costing'!E24*5</f>
        <v>1535</v>
      </c>
      <c r="H6" s="219">
        <f>'8. To-Be Activity Costing'!C17+'8. To-Be Activity Costing'!C18+'8. To-Be Activity Costing'!C19+'8. To-Be Activity Costing'!C20*3+'8. To-Be Activity Costing'!C21*3+'8. To-Be Activity Costing'!C22*3+'8. To-Be Activity Costing'!C23+'8. To-Be Activity Costing'!C24*3</f>
        <v>500</v>
      </c>
      <c r="I6" s="216">
        <f>'8. To-Be Activity Costing'!D17+'8. To-Be Activity Costing'!D18+'8. To-Be Activity Costing'!D19+'8. To-Be Activity Costing'!D20*3+'8. To-Be Activity Costing'!D21*3+'8. To-Be Activity Costing'!D22*3+'8. To-Be Activity Costing'!D23+'8. To-Be Activity Costing'!D24*3</f>
        <v>790</v>
      </c>
      <c r="J6" s="220">
        <f>'8. To-Be Activity Costing'!E17+'8. To-Be Activity Costing'!E18+'8. To-Be Activity Costing'!E19+'8. To-Be Activity Costing'!E20*3+'8. To-Be Activity Costing'!E21*3+'8. To-Be Activity Costing'!E22*3+'8. To-Be Activity Costing'!E23+'8. To-Be Activity Costing'!E24*3</f>
        <v>1095</v>
      </c>
      <c r="K6" s="219">
        <f>'8. To-Be Activity Costing'!C17+'8. To-Be Activity Costing'!C18+'8. To-Be Activity Costing'!C19+'8. To-Be Activity Costing'!C20*5+'8. To-Be Activity Costing'!C21*5+'8. To-Be Activity Costing'!C22*5+'8. To-Be Activity Costing'!C23+'8. To-Be Activity Costing'!C24*5</f>
        <v>710</v>
      </c>
      <c r="L6" s="216">
        <f>'8. To-Be Activity Costing'!D17+'8. To-Be Activity Costing'!D18+'8. To-Be Activity Costing'!D19+'8. To-Be Activity Costing'!D20*5+'8. To-Be Activity Costing'!D21*5+'8. To-Be Activity Costing'!D22*5+'8. To-Be Activity Costing'!D23+'8. To-Be Activity Costing'!D24*5</f>
        <v>1110</v>
      </c>
      <c r="M6" s="220">
        <f>'8. To-Be Activity Costing'!E17+'8. To-Be Activity Costing'!E18+'8. To-Be Activity Costing'!E19+'8. To-Be Activity Costing'!E20*5+'8. To-Be Activity Costing'!E21*5+'8. To-Be Activity Costing'!E22*5+'8. To-Be Activity Costing'!E23+'8. To-Be Activity Costing'!E24*5</f>
        <v>1535</v>
      </c>
      <c r="N6" s="264">
        <f t="shared" si="1"/>
        <v>605</v>
      </c>
      <c r="O6" s="265">
        <f t="shared" si="0"/>
        <v>950</v>
      </c>
      <c r="P6" s="266">
        <f t="shared" si="0"/>
        <v>1315</v>
      </c>
    </row>
    <row r="7" spans="1:19" x14ac:dyDescent="0.2">
      <c r="A7" s="158" t="s">
        <v>167</v>
      </c>
      <c r="B7" s="131">
        <f>'8. To-Be Activity Costing'!C28+'8. To-Be Activity Costing'!C29+'8. To-Be Activity Costing'!C30*3+'8. To-Be Activity Costing'!C31+'8. To-Be Activity Costing'!C32*3</f>
        <v>270</v>
      </c>
      <c r="C7" s="111">
        <f>'8. To-Be Activity Costing'!D28+'8. To-Be Activity Costing'!D29+'8. To-Be Activity Costing'!D30*3+'8. To-Be Activity Costing'!D31+'8. To-Be Activity Costing'!D32*3</f>
        <v>425</v>
      </c>
      <c r="D7" s="132">
        <f>'8. To-Be Activity Costing'!E28+'8. To-Be Activity Costing'!E29+'8. To-Be Activity Costing'!E30*3+'8. To-Be Activity Costing'!E31+'8. To-Be Activity Costing'!E32*3</f>
        <v>600</v>
      </c>
      <c r="E7" s="219">
        <f>'8. To-Be Activity Costing'!C27+'8. To-Be Activity Costing'!C28+'8. To-Be Activity Costing'!C29+'8. To-Be Activity Costing'!C30*5+'8. To-Be Activity Costing'!C31+'8. To-Be Activity Costing'!C32*5</f>
        <v>470</v>
      </c>
      <c r="F7" s="216">
        <f>'8. To-Be Activity Costing'!D27+'8. To-Be Activity Costing'!D28+'8. To-Be Activity Costing'!D29+'8. To-Be Activity Costing'!D30*5+'8. To-Be Activity Costing'!D31+'8. To-Be Activity Costing'!D32*5</f>
        <v>725</v>
      </c>
      <c r="G7" s="220">
        <f>'8. To-Be Activity Costing'!E27+'8. To-Be Activity Costing'!E28+'8. To-Be Activity Costing'!E29+'8. To-Be Activity Costing'!E30*5+'8. To-Be Activity Costing'!E31+'8. To-Be Activity Costing'!E32*5</f>
        <v>1000</v>
      </c>
      <c r="H7" s="219">
        <f>'12. UNDP (as-is)'!C26+'12. UNDP (as-is)'!C27+'12. UNDP (as-is)'!C28+'12. UNDP (as-is)'!C29*3+'12. UNDP (as-is)'!C30+'12. UNDP (as-is)'!C31*3</f>
        <v>410</v>
      </c>
      <c r="I7" s="216">
        <f>'8. To-Be Activity Costing'!D27+'8. To-Be Activity Costing'!D28+'8. To-Be Activity Costing'!D29+'8. To-Be Activity Costing'!D30*3+'8. To-Be Activity Costing'!D31+'8. To-Be Activity Costing'!D32*3</f>
        <v>515</v>
      </c>
      <c r="J7" s="220">
        <f>'8. To-Be Activity Costing'!E27+'8. To-Be Activity Costing'!E28+'8. To-Be Activity Costing'!E29+'8. To-Be Activity Costing'!E30*3+'8. To-Be Activity Costing'!E31+'8. To-Be Activity Costing'!E32*3</f>
        <v>720</v>
      </c>
      <c r="K7" s="219">
        <f>'8. To-Be Activity Costing'!C27+'8. To-Be Activity Costing'!C28+'8. To-Be Activity Costing'!C29+'8. To-Be Activity Costing'!C30*5+'8. To-Be Activity Costing'!C31+'8. To-Be Activity Costing'!C32*5</f>
        <v>470</v>
      </c>
      <c r="L7" s="216">
        <f>'8. To-Be Activity Costing'!D27+'8. To-Be Activity Costing'!D28+'8. To-Be Activity Costing'!D29+'8. To-Be Activity Costing'!D30*5+'8. To-Be Activity Costing'!D31+'8. To-Be Activity Costing'!D32*5</f>
        <v>725</v>
      </c>
      <c r="M7" s="220">
        <f>'8. To-Be Activity Costing'!E27+'8. To-Be Activity Costing'!E28+'8. To-Be Activity Costing'!E29+'8. To-Be Activity Costing'!E30*5+'8. To-Be Activity Costing'!E31+'8. To-Be Activity Costing'!E32*5</f>
        <v>1000</v>
      </c>
      <c r="N7" s="264">
        <f t="shared" si="1"/>
        <v>405</v>
      </c>
      <c r="O7" s="265">
        <f t="shared" si="0"/>
        <v>597.5</v>
      </c>
      <c r="P7" s="266">
        <f t="shared" si="0"/>
        <v>830</v>
      </c>
    </row>
    <row r="8" spans="1:19" x14ac:dyDescent="0.2">
      <c r="A8" s="75" t="s">
        <v>289</v>
      </c>
      <c r="B8" s="133">
        <f>'8. To-Be Activity Costing'!C35+'8. To-Be Activity Costing'!C36+'8. To-Be Activity Costing'!C37+'8. To-Be Activity Costing'!C38+'8. To-Be Activity Costing'!C39*5</f>
        <v>165</v>
      </c>
      <c r="C8" s="119">
        <f>'8. To-Be Activity Costing'!D35+'8. To-Be Activity Costing'!D36+'8. To-Be Activity Costing'!D37+'8. To-Be Activity Costing'!D38+'8. To-Be Activity Costing'!D39*5</f>
        <v>300</v>
      </c>
      <c r="D8" s="134">
        <f>'8. To-Be Activity Costing'!E35+'8. To-Be Activity Costing'!E36+'8. To-Be Activity Costing'!E37+'8. To-Be Activity Costing'!E38+'8. To-Be Activity Costing'!E39*5</f>
        <v>710</v>
      </c>
      <c r="E8" s="221"/>
      <c r="F8" s="217"/>
      <c r="G8" s="222"/>
      <c r="H8" s="219">
        <f>'8. To-Be Activity Costing'!C35+'8. To-Be Activity Costing'!C36+'8. To-Be Activity Costing'!C37+'8. To-Be Activity Costing'!C38+'8. To-Be Activity Costing'!C39*5</f>
        <v>165</v>
      </c>
      <c r="I8" s="216">
        <f>'8. To-Be Activity Costing'!D35+'8. To-Be Activity Costing'!D36+'8. To-Be Activity Costing'!D37+'8. To-Be Activity Costing'!D38+'8. To-Be Activity Costing'!D39*5</f>
        <v>300</v>
      </c>
      <c r="J8" s="220">
        <f>'8. To-Be Activity Costing'!E35+'8. To-Be Activity Costing'!E36+'8. To-Be Activity Costing'!E37+'8. To-Be Activity Costing'!E38+'8. To-Be Activity Costing'!E39*5</f>
        <v>710</v>
      </c>
      <c r="K8" s="219">
        <f>'8. To-Be Activity Costing'!C35+'8. To-Be Activity Costing'!C36+'8. To-Be Activity Costing'!C37+'8. To-Be Activity Costing'!C38+'8. To-Be Activity Costing'!C39*6</f>
        <v>180</v>
      </c>
      <c r="L8" s="216">
        <f>'8. To-Be Activity Costing'!D35+'8. To-Be Activity Costing'!D36+'8. To-Be Activity Costing'!D37+'8. To-Be Activity Costing'!D38+'8. To-Be Activity Costing'!D39*6</f>
        <v>330</v>
      </c>
      <c r="M8" s="220">
        <f>'8. To-Be Activity Costing'!E35+'8. To-Be Activity Costing'!E36+'8. To-Be Activity Costing'!E37+'8. To-Be Activity Costing'!E38+'8. To-Be Activity Costing'!E39*6</f>
        <v>810</v>
      </c>
      <c r="N8" s="264">
        <f t="shared" si="1"/>
        <v>170</v>
      </c>
      <c r="O8" s="265">
        <f t="shared" si="0"/>
        <v>310</v>
      </c>
      <c r="P8" s="266">
        <f t="shared" si="0"/>
        <v>743.33333333333337</v>
      </c>
    </row>
    <row r="9" spans="1:19" x14ac:dyDescent="0.2">
      <c r="A9" s="75" t="s">
        <v>314</v>
      </c>
      <c r="B9" s="198"/>
      <c r="C9" s="199"/>
      <c r="D9" s="200"/>
      <c r="E9" s="221"/>
      <c r="F9" s="217"/>
      <c r="G9" s="222"/>
      <c r="H9" s="219">
        <f>SUM('8. To-Be Activity Costing'!C42)</f>
        <v>15</v>
      </c>
      <c r="I9" s="216">
        <f>SUM('8. To-Be Activity Costing'!D42)</f>
        <v>30</v>
      </c>
      <c r="J9" s="220">
        <f>SUM('8. To-Be Activity Costing'!E42)</f>
        <v>60</v>
      </c>
      <c r="K9" s="221"/>
      <c r="L9" s="217"/>
      <c r="M9" s="222"/>
      <c r="N9" s="264">
        <f t="shared" si="1"/>
        <v>15</v>
      </c>
      <c r="O9" s="265">
        <f t="shared" si="0"/>
        <v>30</v>
      </c>
      <c r="P9" s="266">
        <f t="shared" si="0"/>
        <v>60</v>
      </c>
    </row>
    <row r="10" spans="1:19" x14ac:dyDescent="0.2">
      <c r="A10" s="75" t="s">
        <v>308</v>
      </c>
      <c r="B10" s="131">
        <f>SUM('8. To-Be Activity Costing'!C45:C46)</f>
        <v>35</v>
      </c>
      <c r="C10" s="111">
        <f>SUM('8. To-Be Activity Costing'!D45:D46)</f>
        <v>55</v>
      </c>
      <c r="D10" s="132">
        <f>SUM('8. To-Be Activity Costing'!E45:E46)</f>
        <v>75</v>
      </c>
      <c r="E10" s="219">
        <f>SUM('8. To-Be Activity Costing'!C45:C46)</f>
        <v>35</v>
      </c>
      <c r="F10" s="216">
        <f>SUM('8. To-Be Activity Costing'!D45:D46)</f>
        <v>55</v>
      </c>
      <c r="G10" s="220">
        <f>SUM('8. To-Be Activity Costing'!E45:E46)</f>
        <v>75</v>
      </c>
      <c r="H10" s="219">
        <f>SUM('8. To-Be Activity Costing'!C45:C46)</f>
        <v>35</v>
      </c>
      <c r="I10" s="216">
        <f>SUM('8. To-Be Activity Costing'!D45:D46)</f>
        <v>55</v>
      </c>
      <c r="J10" s="220">
        <f>SUM('8. To-Be Activity Costing'!E45:E46)</f>
        <v>75</v>
      </c>
      <c r="K10" s="219">
        <f>SUM('8. To-Be Activity Costing'!C45:C46)</f>
        <v>35</v>
      </c>
      <c r="L10" s="216">
        <f>SUM('8. To-Be Activity Costing'!D45:D46)</f>
        <v>55</v>
      </c>
      <c r="M10" s="220">
        <f>SUM('8. To-Be Activity Costing'!E45:E46)</f>
        <v>75</v>
      </c>
      <c r="N10" s="264">
        <f t="shared" si="1"/>
        <v>35</v>
      </c>
      <c r="O10" s="265">
        <f t="shared" si="0"/>
        <v>55</v>
      </c>
      <c r="P10" s="266">
        <f t="shared" si="0"/>
        <v>75</v>
      </c>
    </row>
    <row r="11" spans="1:19" x14ac:dyDescent="0.2">
      <c r="A11" s="75" t="s">
        <v>157</v>
      </c>
      <c r="B11" s="131">
        <f>'8. To-Be Activity Costing'!C49</f>
        <v>60</v>
      </c>
      <c r="C11" s="111">
        <f>'8. To-Be Activity Costing'!D49</f>
        <v>100</v>
      </c>
      <c r="D11" s="132">
        <f>'8. To-Be Activity Costing'!E49</f>
        <v>140</v>
      </c>
      <c r="E11" s="131">
        <f>'8. To-Be Activity Costing'!C49</f>
        <v>60</v>
      </c>
      <c r="F11" s="111">
        <f>'8. To-Be Activity Costing'!D49</f>
        <v>100</v>
      </c>
      <c r="G11" s="132">
        <f>'8. To-Be Activity Costing'!E49</f>
        <v>140</v>
      </c>
      <c r="H11" s="131">
        <f>'8. To-Be Activity Costing'!C49</f>
        <v>60</v>
      </c>
      <c r="I11" s="111">
        <f>'8. To-Be Activity Costing'!D49</f>
        <v>100</v>
      </c>
      <c r="J11" s="132">
        <f>'8. To-Be Activity Costing'!E49</f>
        <v>140</v>
      </c>
      <c r="K11" s="131">
        <f>'8. To-Be Activity Costing'!C49</f>
        <v>60</v>
      </c>
      <c r="L11" s="111">
        <f>'8. To-Be Activity Costing'!D49</f>
        <v>100</v>
      </c>
      <c r="M11" s="132">
        <f>'8. To-Be Activity Costing'!E49</f>
        <v>140</v>
      </c>
      <c r="N11" s="264">
        <f t="shared" si="1"/>
        <v>60</v>
      </c>
      <c r="O11" s="265">
        <f t="shared" si="0"/>
        <v>100</v>
      </c>
      <c r="P11" s="266">
        <f t="shared" si="0"/>
        <v>140</v>
      </c>
    </row>
    <row r="12" spans="1:19" ht="13.5" thickBot="1" x14ac:dyDescent="0.25">
      <c r="A12" s="117" t="s">
        <v>163</v>
      </c>
      <c r="B12" s="135">
        <f>SUM('8. To-Be Activity Costing'!C52:C56)</f>
        <v>75</v>
      </c>
      <c r="C12" s="120">
        <f>SUM('8. To-Be Activity Costing'!D52:D56)</f>
        <v>145</v>
      </c>
      <c r="D12" s="136">
        <f>SUM('8. To-Be Activity Costing'!E52:E56)</f>
        <v>230</v>
      </c>
      <c r="E12" s="223">
        <f>SUM('8. To-Be Activity Costing'!C52:C56)</f>
        <v>75</v>
      </c>
      <c r="F12" s="218">
        <f>SUM('8. To-Be Activity Costing'!D52:D56)</f>
        <v>145</v>
      </c>
      <c r="G12" s="224">
        <f>SUM('8. To-Be Activity Costing'!E52:E56)</f>
        <v>230</v>
      </c>
      <c r="H12" s="223">
        <f>SUM('8. To-Be Activity Costing'!C52:C56)</f>
        <v>75</v>
      </c>
      <c r="I12" s="218">
        <f>SUM('8. To-Be Activity Costing'!D52:D56)</f>
        <v>145</v>
      </c>
      <c r="J12" s="224">
        <f>SUM('8. To-Be Activity Costing'!E52:E56)</f>
        <v>230</v>
      </c>
      <c r="K12" s="223">
        <f>SUM('8. To-Be Activity Costing'!C52:C56)</f>
        <v>75</v>
      </c>
      <c r="L12" s="218">
        <f>SUM('8. To-Be Activity Costing'!D52:D56)</f>
        <v>145</v>
      </c>
      <c r="M12" s="224">
        <f>SUM('8. To-Be Activity Costing'!E52:E56)</f>
        <v>230</v>
      </c>
      <c r="N12" s="223">
        <f t="shared" si="1"/>
        <v>75</v>
      </c>
      <c r="O12" s="218">
        <f t="shared" si="0"/>
        <v>145</v>
      </c>
      <c r="P12" s="224">
        <f t="shared" si="0"/>
        <v>230</v>
      </c>
    </row>
    <row r="13" spans="1:19" ht="13.5" thickTop="1" x14ac:dyDescent="0.2">
      <c r="A13" s="158" t="s">
        <v>380</v>
      </c>
      <c r="B13" s="259">
        <f>SUM(B4:B12)</f>
        <v>1605</v>
      </c>
      <c r="C13" s="259">
        <f t="shared" ref="C13:P13" si="2">SUM(C4:C12)</f>
        <v>2575</v>
      </c>
      <c r="D13" s="259">
        <f t="shared" si="2"/>
        <v>3945</v>
      </c>
      <c r="E13" s="259">
        <f t="shared" si="2"/>
        <v>2090</v>
      </c>
      <c r="F13" s="259">
        <f t="shared" si="2"/>
        <v>3215</v>
      </c>
      <c r="G13" s="259">
        <f t="shared" si="2"/>
        <v>4485</v>
      </c>
      <c r="H13" s="259">
        <f t="shared" si="2"/>
        <v>1760</v>
      </c>
      <c r="I13" s="259">
        <f t="shared" si="2"/>
        <v>2695</v>
      </c>
      <c r="J13" s="259">
        <f t="shared" si="2"/>
        <v>4125</v>
      </c>
      <c r="K13" s="259">
        <f t="shared" si="2"/>
        <v>2270</v>
      </c>
      <c r="L13" s="259">
        <f t="shared" si="2"/>
        <v>3545</v>
      </c>
      <c r="M13" s="259">
        <f t="shared" si="2"/>
        <v>5295</v>
      </c>
      <c r="N13" s="259">
        <f t="shared" si="2"/>
        <v>1985</v>
      </c>
      <c r="O13" s="259">
        <f t="shared" si="2"/>
        <v>3107.5</v>
      </c>
      <c r="P13" s="259">
        <f t="shared" si="2"/>
        <v>4693.333333333333</v>
      </c>
    </row>
    <row r="14" spans="1:19" s="51" customFormat="1" x14ac:dyDescent="0.2">
      <c r="E14" s="58"/>
      <c r="F14" s="58"/>
      <c r="G14" s="58"/>
      <c r="N14" s="354"/>
      <c r="O14" s="354"/>
      <c r="P14" s="354"/>
    </row>
    <row r="15" spans="1:19" s="51" customFormat="1" x14ac:dyDescent="0.2">
      <c r="E15" s="58"/>
      <c r="F15" s="58"/>
      <c r="G15" s="58"/>
      <c r="N15" s="354"/>
      <c r="O15" s="354"/>
      <c r="P15" s="354"/>
    </row>
    <row r="16" spans="1:19" x14ac:dyDescent="0.2">
      <c r="N16" s="354"/>
      <c r="O16" s="354"/>
      <c r="P16" s="354"/>
      <c r="Q16" s="90"/>
      <c r="R16" s="90"/>
      <c r="S16" s="90"/>
    </row>
    <row r="17" spans="14:19" x14ac:dyDescent="0.2">
      <c r="N17" s="111"/>
      <c r="O17" s="111"/>
      <c r="P17" s="111"/>
      <c r="Q17" s="90"/>
      <c r="R17" s="90"/>
      <c r="S17" s="90"/>
    </row>
    <row r="18" spans="14:19" x14ac:dyDescent="0.2">
      <c r="N18" s="259"/>
      <c r="O18" s="260"/>
      <c r="P18" s="259"/>
      <c r="Q18" s="90"/>
      <c r="R18" s="90"/>
      <c r="S18" s="90"/>
    </row>
    <row r="19" spans="14:19" x14ac:dyDescent="0.2">
      <c r="N19" s="51"/>
      <c r="O19" s="51"/>
      <c r="P19" s="51"/>
      <c r="Q19" s="90"/>
      <c r="R19" s="90"/>
      <c r="S19" s="90"/>
    </row>
    <row r="20" spans="14:19" x14ac:dyDescent="0.2">
      <c r="N20" s="90"/>
      <c r="O20" s="90"/>
      <c r="P20" s="90"/>
      <c r="Q20" s="90"/>
      <c r="R20" s="90"/>
      <c r="S20" s="90"/>
    </row>
    <row r="21" spans="14:19" x14ac:dyDescent="0.2">
      <c r="N21" s="90"/>
      <c r="O21" s="90"/>
      <c r="P21" s="90"/>
      <c r="Q21" s="90"/>
      <c r="R21" s="90"/>
      <c r="S21" s="90"/>
    </row>
    <row r="22" spans="14:19" x14ac:dyDescent="0.2">
      <c r="N22" s="90"/>
      <c r="O22" s="90"/>
      <c r="P22" s="90"/>
      <c r="Q22" s="90"/>
      <c r="R22" s="90"/>
      <c r="S22" s="90"/>
    </row>
    <row r="23" spans="14:19" x14ac:dyDescent="0.2">
      <c r="N23" s="90"/>
      <c r="O23" s="90"/>
      <c r="P23" s="90"/>
      <c r="Q23" s="90"/>
      <c r="R23" s="90"/>
      <c r="S23" s="90"/>
    </row>
    <row r="24" spans="14:19" x14ac:dyDescent="0.2">
      <c r="N24" s="90"/>
      <c r="O24" s="90"/>
      <c r="P24" s="90"/>
      <c r="Q24" s="90"/>
      <c r="R24" s="90"/>
      <c r="S24" s="90"/>
    </row>
  </sheetData>
  <mergeCells count="10">
    <mergeCell ref="N1:P1"/>
    <mergeCell ref="N2:P2"/>
    <mergeCell ref="B1:D1"/>
    <mergeCell ref="E1:G1"/>
    <mergeCell ref="H1:J1"/>
    <mergeCell ref="K1:M1"/>
    <mergeCell ref="B2:D2"/>
    <mergeCell ref="E2:G2"/>
    <mergeCell ref="H2:J2"/>
    <mergeCell ref="K2:M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E15"/>
  <sheetViews>
    <sheetView workbookViewId="0">
      <selection activeCell="M40" sqref="M40"/>
    </sheetView>
  </sheetViews>
  <sheetFormatPr defaultColWidth="9.140625" defaultRowHeight="12.75" x14ac:dyDescent="0.2"/>
  <cols>
    <col min="1" max="1" width="37.7109375" style="8" customWidth="1"/>
    <col min="2" max="2" width="12.7109375" style="8" customWidth="1"/>
    <col min="3" max="3" width="13.28515625" style="8" customWidth="1"/>
    <col min="4" max="4" width="13" style="8" customWidth="1"/>
    <col min="5" max="5" width="13.7109375" style="8" customWidth="1"/>
    <col min="6" max="16384" width="9.140625" style="8"/>
  </cols>
  <sheetData>
    <row r="1" spans="1:5" x14ac:dyDescent="0.2">
      <c r="A1" s="161" t="s">
        <v>356</v>
      </c>
      <c r="B1" s="233" t="s">
        <v>235</v>
      </c>
      <c r="C1" s="228" t="s">
        <v>236</v>
      </c>
      <c r="D1" s="228" t="s">
        <v>237</v>
      </c>
      <c r="E1" s="228" t="s">
        <v>238</v>
      </c>
    </row>
    <row r="2" spans="1:5" x14ac:dyDescent="0.2">
      <c r="A2" s="161"/>
      <c r="B2" s="387" t="s">
        <v>358</v>
      </c>
      <c r="C2" s="387" t="s">
        <v>358</v>
      </c>
      <c r="D2" s="387" t="s">
        <v>358</v>
      </c>
      <c r="E2" s="387" t="s">
        <v>358</v>
      </c>
    </row>
    <row r="3" spans="1:5" x14ac:dyDescent="0.2">
      <c r="A3" s="226" t="s">
        <v>335</v>
      </c>
      <c r="B3" s="390"/>
      <c r="C3" s="390"/>
      <c r="D3" s="390"/>
      <c r="E3" s="390"/>
    </row>
    <row r="4" spans="1:5" x14ac:dyDescent="0.2">
      <c r="A4" s="137" t="s">
        <v>306</v>
      </c>
      <c r="B4" s="116">
        <f>'8. To-Be Activity Costing'!B5</f>
        <v>1</v>
      </c>
      <c r="C4" s="129">
        <f>'8. To-Be Activity Costing'!B5</f>
        <v>1</v>
      </c>
      <c r="D4" s="129">
        <f>'8. To-Be Activity Costing'!B5</f>
        <v>1</v>
      </c>
      <c r="E4" s="229">
        <f>'8. To-Be Activity Costing'!B5</f>
        <v>1</v>
      </c>
    </row>
    <row r="5" spans="1:5" x14ac:dyDescent="0.2">
      <c r="A5" s="157" t="s">
        <v>165</v>
      </c>
      <c r="B5" s="111">
        <f>'8. To-Be Activity Costing'!B15</f>
        <v>8</v>
      </c>
      <c r="C5" s="219">
        <f>'8. To-Be Activity Costing'!B15</f>
        <v>8</v>
      </c>
      <c r="D5" s="219">
        <f>'8. To-Be Activity Costing'!B15</f>
        <v>8</v>
      </c>
      <c r="E5" s="234">
        <f>'8. To-Be Activity Costing'!B15</f>
        <v>8</v>
      </c>
    </row>
    <row r="6" spans="1:5" x14ac:dyDescent="0.2">
      <c r="A6" s="157" t="s">
        <v>166</v>
      </c>
      <c r="B6" s="111">
        <f>'8. To-Be Activity Costing'!B25</f>
        <v>8</v>
      </c>
      <c r="C6" s="219">
        <f>'8. To-Be Activity Costing'!B25</f>
        <v>8</v>
      </c>
      <c r="D6" s="219">
        <f>'8. To-Be Activity Costing'!B25</f>
        <v>8</v>
      </c>
      <c r="E6" s="234">
        <f>'8. To-Be Activity Costing'!B25</f>
        <v>8</v>
      </c>
    </row>
    <row r="7" spans="1:5" x14ac:dyDescent="0.2">
      <c r="A7" s="157" t="s">
        <v>167</v>
      </c>
      <c r="B7" s="111">
        <f>'8. To-Be Activity Costing'!B33</f>
        <v>6</v>
      </c>
      <c r="C7" s="219">
        <f>'8. To-Be Activity Costing'!B33</f>
        <v>6</v>
      </c>
      <c r="D7" s="219">
        <f>'8. To-Be Activity Costing'!B33</f>
        <v>6</v>
      </c>
      <c r="E7" s="234">
        <f>'8. To-Be Activity Costing'!B33</f>
        <v>6</v>
      </c>
    </row>
    <row r="8" spans="1:5" x14ac:dyDescent="0.2">
      <c r="A8" s="138" t="s">
        <v>289</v>
      </c>
      <c r="B8" s="119">
        <f>'8. To-Be Activity Costing'!B40</f>
        <v>5</v>
      </c>
      <c r="C8" s="221"/>
      <c r="D8" s="219">
        <f>'8. To-Be Activity Costing'!B40</f>
        <v>5</v>
      </c>
      <c r="E8" s="234">
        <f>'8. To-Be Activity Costing'!B40</f>
        <v>5</v>
      </c>
    </row>
    <row r="9" spans="1:5" x14ac:dyDescent="0.2">
      <c r="A9" s="138" t="s">
        <v>314</v>
      </c>
      <c r="B9" s="199"/>
      <c r="C9" s="221"/>
      <c r="D9" s="219">
        <f>'8. To-Be Activity Costing'!B43</f>
        <v>1</v>
      </c>
      <c r="E9" s="235"/>
    </row>
    <row r="10" spans="1:5" x14ac:dyDescent="0.2">
      <c r="A10" s="138" t="s">
        <v>308</v>
      </c>
      <c r="B10" s="111">
        <f>'8. To-Be Activity Costing'!B47</f>
        <v>2</v>
      </c>
      <c r="C10" s="219">
        <f>'8. To-Be Activity Costing'!B47</f>
        <v>2</v>
      </c>
      <c r="D10" s="219">
        <f>'8. To-Be Activity Costing'!B47</f>
        <v>2</v>
      </c>
      <c r="E10" s="234">
        <f>'8. To-Be Activity Costing'!B47</f>
        <v>2</v>
      </c>
    </row>
    <row r="11" spans="1:5" x14ac:dyDescent="0.2">
      <c r="A11" s="138" t="s">
        <v>157</v>
      </c>
      <c r="B11" s="111">
        <f>'8. To-Be Activity Costing'!B50</f>
        <v>1</v>
      </c>
      <c r="C11" s="131">
        <f>'8. To-Be Activity Costing'!B50</f>
        <v>1</v>
      </c>
      <c r="D11" s="131">
        <f>'8. To-Be Activity Costing'!B50</f>
        <v>1</v>
      </c>
      <c r="E11" s="230">
        <f>'8. To-Be Activity Costing'!B50</f>
        <v>1</v>
      </c>
    </row>
    <row r="12" spans="1:5" ht="13.5" thickBot="1" x14ac:dyDescent="0.25">
      <c r="A12" s="139" t="s">
        <v>163</v>
      </c>
      <c r="B12" s="120">
        <f>'8. To-Be Activity Costing'!B57</f>
        <v>5</v>
      </c>
      <c r="C12" s="223">
        <f>'8. To-Be Activity Costing'!B57</f>
        <v>5</v>
      </c>
      <c r="D12" s="223">
        <f>'8. To-Be Activity Costing'!B57</f>
        <v>5</v>
      </c>
      <c r="E12" s="236">
        <f>'8. To-Be Activity Costing'!B57</f>
        <v>5</v>
      </c>
    </row>
    <row r="13" spans="1:5" ht="13.5" thickTop="1" x14ac:dyDescent="0.2">
      <c r="A13" s="75"/>
      <c r="B13" s="112"/>
    </row>
    <row r="14" spans="1:5" s="51" customFormat="1" x14ac:dyDescent="0.2">
      <c r="C14" s="58"/>
    </row>
    <row r="15" spans="1:5" s="51" customFormat="1" x14ac:dyDescent="0.2">
      <c r="C15" s="58"/>
    </row>
  </sheetData>
  <mergeCells count="4">
    <mergeCell ref="D2:D3"/>
    <mergeCell ref="E2:E3"/>
    <mergeCell ref="B2:B3"/>
    <mergeCell ref="C2: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CG58"/>
  <sheetViews>
    <sheetView zoomScale="80" zoomScaleNormal="80" workbookViewId="0">
      <pane xSplit="1" topLeftCell="B1" activePane="topRight" state="frozen"/>
      <selection pane="topRight" activeCell="H30" sqref="H30:K30"/>
    </sheetView>
  </sheetViews>
  <sheetFormatPr defaultColWidth="9.140625" defaultRowHeight="12.75" x14ac:dyDescent="0.2"/>
  <cols>
    <col min="1" max="1" width="32.5703125" style="46" customWidth="1"/>
    <col min="2" max="2" width="41.85546875" style="46" customWidth="1"/>
    <col min="3" max="3" width="7.28515625" style="46" customWidth="1"/>
    <col min="4" max="4" width="7.7109375" style="46" customWidth="1"/>
    <col min="5" max="5" width="6.85546875" style="46" customWidth="1"/>
    <col min="6" max="6" width="42.140625" style="46" customWidth="1"/>
    <col min="7" max="7" width="2.5703125" style="181" customWidth="1"/>
    <col min="8" max="8" width="17.42578125" style="60" customWidth="1"/>
    <col min="9" max="9" width="9.42578125" style="46" customWidth="1"/>
    <col min="10" max="10" width="9.140625" style="46" customWidth="1"/>
    <col min="11" max="11" width="9.5703125" style="46" customWidth="1"/>
    <col min="12" max="12" width="2.140625" style="181" customWidth="1"/>
    <col min="13" max="13" width="19.5703125" style="60" customWidth="1"/>
    <col min="14" max="16" width="9.140625" style="46" customWidth="1"/>
    <col min="17" max="17" width="2.28515625" style="181" customWidth="1"/>
    <col min="18" max="18" width="19.5703125" style="46" customWidth="1"/>
    <col min="19" max="21" width="9.140625" style="46" customWidth="1"/>
    <col min="22" max="22" width="2.140625" style="181" customWidth="1"/>
    <col min="23" max="23" width="19.5703125" style="46" customWidth="1"/>
    <col min="24" max="26" width="9.140625" style="46"/>
    <col min="27" max="27" width="1.85546875" style="181" customWidth="1"/>
    <col min="28" max="16384" width="9.140625" style="46"/>
  </cols>
  <sheetData>
    <row r="1" spans="1:85" s="52" customFormat="1" ht="15" x14ac:dyDescent="0.25">
      <c r="A1" s="391" t="s">
        <v>349</v>
      </c>
      <c r="B1" s="395"/>
      <c r="C1" s="396"/>
      <c r="D1" s="396"/>
      <c r="E1" s="396"/>
      <c r="F1" s="396"/>
      <c r="G1" s="181"/>
      <c r="H1" s="391" t="s">
        <v>235</v>
      </c>
      <c r="I1" s="392"/>
      <c r="J1" s="392"/>
      <c r="K1" s="392"/>
      <c r="L1" s="181"/>
      <c r="M1" s="391" t="s">
        <v>236</v>
      </c>
      <c r="N1" s="392"/>
      <c r="O1" s="392"/>
      <c r="P1" s="392"/>
      <c r="Q1" s="181"/>
      <c r="R1" s="391" t="s">
        <v>237</v>
      </c>
      <c r="S1" s="392"/>
      <c r="T1" s="392"/>
      <c r="U1" s="392"/>
      <c r="V1" s="181"/>
      <c r="W1" s="391" t="s">
        <v>238</v>
      </c>
      <c r="X1" s="392"/>
      <c r="Y1" s="392"/>
      <c r="Z1" s="392"/>
      <c r="AA1" s="181"/>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row>
    <row r="2" spans="1:85" ht="15" x14ac:dyDescent="0.25">
      <c r="A2" s="52"/>
      <c r="B2" s="52"/>
      <c r="C2" s="393" t="s">
        <v>342</v>
      </c>
      <c r="D2" s="397"/>
      <c r="E2" s="397"/>
      <c r="F2" s="52"/>
      <c r="H2" s="56"/>
      <c r="I2" s="393" t="s">
        <v>299</v>
      </c>
      <c r="J2" s="398"/>
      <c r="K2" s="393"/>
      <c r="M2" s="56"/>
      <c r="N2" s="393" t="s">
        <v>299</v>
      </c>
      <c r="O2" s="394"/>
      <c r="P2" s="393"/>
      <c r="R2" s="56"/>
      <c r="S2" s="393" t="s">
        <v>299</v>
      </c>
      <c r="T2" s="394"/>
      <c r="U2" s="393"/>
      <c r="W2" s="56"/>
      <c r="X2" s="393" t="s">
        <v>299</v>
      </c>
      <c r="Y2" s="394"/>
      <c r="Z2" s="393"/>
    </row>
    <row r="3" spans="1:85" s="47" customFormat="1" x14ac:dyDescent="0.2">
      <c r="A3" s="53" t="s">
        <v>62</v>
      </c>
      <c r="B3" s="53" t="s">
        <v>160</v>
      </c>
      <c r="C3" s="55" t="s">
        <v>169</v>
      </c>
      <c r="D3" s="56" t="s">
        <v>170</v>
      </c>
      <c r="E3" s="56" t="s">
        <v>171</v>
      </c>
      <c r="F3" s="53" t="s">
        <v>61</v>
      </c>
      <c r="G3" s="182"/>
      <c r="H3" s="56" t="s">
        <v>310</v>
      </c>
      <c r="I3" s="55" t="s">
        <v>169</v>
      </c>
      <c r="J3" s="56" t="s">
        <v>170</v>
      </c>
      <c r="K3" s="56" t="s">
        <v>171</v>
      </c>
      <c r="L3" s="185"/>
      <c r="M3" s="56" t="s">
        <v>310</v>
      </c>
      <c r="N3" s="55" t="s">
        <v>169</v>
      </c>
      <c r="O3" s="56" t="s">
        <v>170</v>
      </c>
      <c r="P3" s="56" t="s">
        <v>171</v>
      </c>
      <c r="Q3" s="185"/>
      <c r="R3" s="56" t="s">
        <v>310</v>
      </c>
      <c r="S3" s="55" t="s">
        <v>169</v>
      </c>
      <c r="T3" s="56" t="s">
        <v>170</v>
      </c>
      <c r="U3" s="56" t="s">
        <v>171</v>
      </c>
      <c r="V3" s="185"/>
      <c r="W3" s="56" t="s">
        <v>310</v>
      </c>
      <c r="X3" s="55" t="s">
        <v>169</v>
      </c>
      <c r="Y3" s="56" t="s">
        <v>170</v>
      </c>
      <c r="Z3" s="56" t="s">
        <v>171</v>
      </c>
      <c r="AA3" s="185"/>
    </row>
    <row r="4" spans="1:85" s="48" customFormat="1" ht="14.25" customHeight="1" thickBot="1" x14ac:dyDescent="0.25">
      <c r="A4" s="76" t="s">
        <v>64</v>
      </c>
      <c r="B4" s="76" t="s">
        <v>172</v>
      </c>
      <c r="C4" s="77">
        <v>15</v>
      </c>
      <c r="D4" s="78">
        <v>30</v>
      </c>
      <c r="E4" s="77">
        <v>60</v>
      </c>
      <c r="F4" s="76" t="s">
        <v>63</v>
      </c>
      <c r="G4" s="183"/>
      <c r="H4" s="77" t="s">
        <v>125</v>
      </c>
      <c r="I4" s="145">
        <f>'13. Pro-forma Costs'!$I$38*C4</f>
        <v>4.6806167424242426</v>
      </c>
      <c r="J4" s="145">
        <f>'13. Pro-forma Costs'!$I$38*D4</f>
        <v>9.3612334848484853</v>
      </c>
      <c r="K4" s="145">
        <f>'13. Pro-forma Costs'!$I$38*E4</f>
        <v>18.722466969696971</v>
      </c>
      <c r="L4" s="183"/>
      <c r="M4" s="77" t="s">
        <v>125</v>
      </c>
      <c r="N4" s="149">
        <f>C4*'13. Pro-forma Costs'!$I$38</f>
        <v>4.6806167424242426</v>
      </c>
      <c r="O4" s="149">
        <f>D4*'13. Pro-forma Costs'!$I$38</f>
        <v>9.3612334848484853</v>
      </c>
      <c r="P4" s="149">
        <f>E4*'13. Pro-forma Costs'!$I$38</f>
        <v>18.722466969696971</v>
      </c>
      <c r="Q4" s="183"/>
      <c r="R4" s="77" t="s">
        <v>125</v>
      </c>
      <c r="S4" s="149">
        <f>C4*'13. Pro-forma Costs'!$I$38</f>
        <v>4.6806167424242426</v>
      </c>
      <c r="T4" s="149">
        <f>D4*'13. Pro-forma Costs'!$I$38</f>
        <v>9.3612334848484853</v>
      </c>
      <c r="U4" s="149">
        <f>E4*'13. Pro-forma Costs'!$I$38</f>
        <v>18.722466969696971</v>
      </c>
      <c r="V4" s="183"/>
      <c r="W4" s="77" t="s">
        <v>131</v>
      </c>
      <c r="X4" s="149">
        <f>C4*'13. Pro-forma Costs'!$I$42</f>
        <v>3.7145000000000001</v>
      </c>
      <c r="Y4" s="149">
        <f>D4*'13. Pro-forma Costs'!$I$42</f>
        <v>7.4290000000000003</v>
      </c>
      <c r="Z4" s="149">
        <f>E4*'13. Pro-forma Costs'!$I$42</f>
        <v>14.858000000000001</v>
      </c>
      <c r="AA4" s="183"/>
    </row>
    <row r="5" spans="1:85" s="73" customFormat="1" ht="14.25" customHeight="1" thickTop="1" x14ac:dyDescent="0.2">
      <c r="A5" s="73" t="s">
        <v>305</v>
      </c>
      <c r="B5" s="65">
        <f>COUNTA(B4)</f>
        <v>1</v>
      </c>
      <c r="C5" s="65"/>
      <c r="D5" s="65"/>
      <c r="E5" s="65"/>
      <c r="G5" s="184"/>
      <c r="H5" s="65"/>
      <c r="I5" s="144">
        <f>SUM(I4)</f>
        <v>4.6806167424242426</v>
      </c>
      <c r="J5" s="144">
        <f t="shared" ref="J5:K5" si="0">SUM(J4)</f>
        <v>9.3612334848484853</v>
      </c>
      <c r="K5" s="144">
        <f t="shared" si="0"/>
        <v>18.722466969696971</v>
      </c>
      <c r="L5" s="184"/>
      <c r="M5" s="65"/>
      <c r="N5" s="144">
        <f>SUM(N4)</f>
        <v>4.6806167424242426</v>
      </c>
      <c r="O5" s="144">
        <f t="shared" ref="O5:P5" si="1">SUM(O4)</f>
        <v>9.3612334848484853</v>
      </c>
      <c r="P5" s="144">
        <f t="shared" si="1"/>
        <v>18.722466969696971</v>
      </c>
      <c r="Q5" s="184"/>
      <c r="R5" s="65"/>
      <c r="S5" s="144">
        <f>SUM(S4)</f>
        <v>4.6806167424242426</v>
      </c>
      <c r="T5" s="144">
        <f t="shared" ref="T5" si="2">SUM(T4)</f>
        <v>9.3612334848484853</v>
      </c>
      <c r="U5" s="144">
        <f t="shared" ref="U5" si="3">SUM(U4)</f>
        <v>18.722466969696971</v>
      </c>
      <c r="V5" s="184"/>
      <c r="W5" s="65"/>
      <c r="X5" s="144">
        <f>SUM(X4)</f>
        <v>3.7145000000000001</v>
      </c>
      <c r="Y5" s="144">
        <f t="shared" ref="Y5:Z5" si="4">SUM(Y4)</f>
        <v>7.4290000000000003</v>
      </c>
      <c r="Z5" s="144">
        <f t="shared" si="4"/>
        <v>14.858000000000001</v>
      </c>
      <c r="AA5" s="184"/>
    </row>
    <row r="6" spans="1:85" s="48" customFormat="1" ht="14.25" customHeight="1" x14ac:dyDescent="0.2">
      <c r="C6" s="49"/>
      <c r="D6" s="50"/>
      <c r="E6" s="49"/>
      <c r="G6" s="183"/>
      <c r="H6" s="49"/>
      <c r="I6" s="141"/>
      <c r="J6" s="141"/>
      <c r="K6" s="141"/>
      <c r="L6" s="188"/>
      <c r="M6" s="49"/>
      <c r="Q6" s="183"/>
      <c r="R6" s="49"/>
      <c r="V6" s="183"/>
      <c r="W6" s="49"/>
      <c r="AA6" s="183"/>
    </row>
    <row r="7" spans="1:85" s="48" customFormat="1" x14ac:dyDescent="0.2">
      <c r="A7" s="71" t="s">
        <v>165</v>
      </c>
      <c r="B7" s="71" t="s">
        <v>84</v>
      </c>
      <c r="C7" s="68">
        <v>60</v>
      </c>
      <c r="D7" s="69">
        <v>120</v>
      </c>
      <c r="E7" s="68">
        <v>180</v>
      </c>
      <c r="F7" s="71" t="s">
        <v>63</v>
      </c>
      <c r="G7" s="183"/>
      <c r="H7" s="68" t="s">
        <v>125</v>
      </c>
      <c r="I7" s="115">
        <f>'13. Pro-forma Costs'!$I$38*C7</f>
        <v>18.722466969696971</v>
      </c>
      <c r="J7" s="115">
        <f>'13. Pro-forma Costs'!$I$38*D7</f>
        <v>37.444933939393941</v>
      </c>
      <c r="K7" s="115">
        <f>'13. Pro-forma Costs'!$I$38*E7</f>
        <v>56.167400909090908</v>
      </c>
      <c r="L7" s="183"/>
      <c r="M7" s="68" t="s">
        <v>125</v>
      </c>
      <c r="N7" s="140">
        <f>C7*'13. Pro-forma Costs'!$I$38</f>
        <v>18.722466969696971</v>
      </c>
      <c r="O7" s="140">
        <f>D7*'13. Pro-forma Costs'!$I$38</f>
        <v>37.444933939393941</v>
      </c>
      <c r="P7" s="140">
        <f>E7*'13. Pro-forma Costs'!$I$38</f>
        <v>56.167400909090908</v>
      </c>
      <c r="Q7" s="183"/>
      <c r="R7" s="68" t="s">
        <v>121</v>
      </c>
      <c r="S7" s="140">
        <f>'13. Pro-forma Costs'!$I$24*'8. To-Be Activity Costing'!C8</f>
        <v>5.5263633333333333</v>
      </c>
      <c r="T7" s="140">
        <f>'13. Pro-forma Costs'!$I$24*'8. To-Be Activity Costing'!D8</f>
        <v>11.052726666666667</v>
      </c>
      <c r="U7" s="140">
        <f>'13. Pro-forma Costs'!$I$24*'8. To-Be Activity Costing'!E8</f>
        <v>16.579090000000001</v>
      </c>
      <c r="V7" s="183"/>
      <c r="W7" s="68" t="s">
        <v>131</v>
      </c>
      <c r="X7" s="140">
        <f>C7*'13. Pro-forma Costs'!$I$42</f>
        <v>14.858000000000001</v>
      </c>
      <c r="Y7" s="140">
        <f>D7*'13. Pro-forma Costs'!$I$42</f>
        <v>29.716000000000001</v>
      </c>
      <c r="Z7" s="140">
        <f>E7*'13. Pro-forma Costs'!$I$42</f>
        <v>44.574000000000005</v>
      </c>
      <c r="AA7" s="183"/>
    </row>
    <row r="8" spans="1:85" s="48" customFormat="1" x14ac:dyDescent="0.2">
      <c r="A8" s="48" t="s">
        <v>165</v>
      </c>
      <c r="B8" s="48" t="s">
        <v>181</v>
      </c>
      <c r="C8" s="49">
        <v>15</v>
      </c>
      <c r="D8" s="50">
        <v>30</v>
      </c>
      <c r="E8" s="49">
        <v>45</v>
      </c>
      <c r="F8" s="48" t="s">
        <v>63</v>
      </c>
      <c r="G8" s="183"/>
      <c r="H8" s="49" t="s">
        <v>125</v>
      </c>
      <c r="I8" s="112">
        <f>'13. Pro-forma Costs'!$I$38*C8</f>
        <v>4.6806167424242426</v>
      </c>
      <c r="J8" s="112">
        <f>'13. Pro-forma Costs'!$I$38*D8</f>
        <v>9.3612334848484853</v>
      </c>
      <c r="K8" s="112">
        <f>'13. Pro-forma Costs'!$I$38*E8</f>
        <v>14.041850227272727</v>
      </c>
      <c r="L8" s="183"/>
      <c r="M8" s="49" t="s">
        <v>125</v>
      </c>
      <c r="N8" s="141">
        <f>C8*'13. Pro-forma Costs'!$I$38</f>
        <v>4.6806167424242426</v>
      </c>
      <c r="O8" s="141">
        <f>D8*'13. Pro-forma Costs'!$I$38</f>
        <v>9.3612334848484853</v>
      </c>
      <c r="P8" s="141">
        <f>E8*'13. Pro-forma Costs'!$I$38</f>
        <v>14.041850227272727</v>
      </c>
      <c r="Q8" s="183"/>
      <c r="R8" s="49" t="s">
        <v>121</v>
      </c>
      <c r="S8" s="141">
        <f>'13. Pro-forma Costs'!$I$24*'8. To-Be Activity Costing'!C9</f>
        <v>11.052726666666667</v>
      </c>
      <c r="T8" s="141">
        <f>'13. Pro-forma Costs'!$I$24*'8. To-Be Activity Costing'!D9</f>
        <v>22.105453333333333</v>
      </c>
      <c r="U8" s="141">
        <f>'13. Pro-forma Costs'!$I$24*'8. To-Be Activity Costing'!E9</f>
        <v>44.210906666666666</v>
      </c>
      <c r="V8" s="183"/>
      <c r="W8" s="49" t="s">
        <v>131</v>
      </c>
      <c r="X8" s="141">
        <f>C8*'13. Pro-forma Costs'!$I$42</f>
        <v>3.7145000000000001</v>
      </c>
      <c r="Y8" s="141">
        <f>D8*'13. Pro-forma Costs'!$I$42</f>
        <v>7.4290000000000003</v>
      </c>
      <c r="Z8" s="141">
        <f>E8*'13. Pro-forma Costs'!$I$42</f>
        <v>11.143500000000001</v>
      </c>
      <c r="AA8" s="183"/>
    </row>
    <row r="9" spans="1:85" s="48" customFormat="1" x14ac:dyDescent="0.2">
      <c r="A9" s="48" t="s">
        <v>165</v>
      </c>
      <c r="B9" s="48" t="s">
        <v>180</v>
      </c>
      <c r="C9" s="49">
        <v>30</v>
      </c>
      <c r="D9" s="50">
        <v>60</v>
      </c>
      <c r="E9" s="49">
        <v>120</v>
      </c>
      <c r="F9" s="48" t="s">
        <v>63</v>
      </c>
      <c r="G9" s="183"/>
      <c r="H9" s="49" t="s">
        <v>125</v>
      </c>
      <c r="I9" s="112">
        <f>'13. Pro-forma Costs'!$I$38*C9</f>
        <v>9.3612334848484853</v>
      </c>
      <c r="J9" s="112">
        <f>'13. Pro-forma Costs'!$I$38*D9</f>
        <v>18.722466969696971</v>
      </c>
      <c r="K9" s="112">
        <f>'13. Pro-forma Costs'!$I$38*E9</f>
        <v>37.444933939393941</v>
      </c>
      <c r="L9" s="183"/>
      <c r="M9" s="49" t="s">
        <v>125</v>
      </c>
      <c r="N9" s="141">
        <f>C9*'13. Pro-forma Costs'!$I$38</f>
        <v>9.3612334848484853</v>
      </c>
      <c r="O9" s="141">
        <f>D9*'13. Pro-forma Costs'!$I$38</f>
        <v>18.722466969696971</v>
      </c>
      <c r="P9" s="141">
        <f>E9*'13. Pro-forma Costs'!$I$38</f>
        <v>37.444933939393941</v>
      </c>
      <c r="Q9" s="183"/>
      <c r="R9" s="49" t="s">
        <v>121</v>
      </c>
      <c r="S9" s="141">
        <f>'13. Pro-forma Costs'!$I$24*'8. To-Be Activity Costing'!C10</f>
        <v>1.8421211111111111</v>
      </c>
      <c r="T9" s="141">
        <f>'13. Pro-forma Costs'!$I$24*'8. To-Be Activity Costing'!D10</f>
        <v>3.6842422222222222</v>
      </c>
      <c r="U9" s="141">
        <f>'13. Pro-forma Costs'!$I$24*'8. To-Be Activity Costing'!E10</f>
        <v>5.5263633333333333</v>
      </c>
      <c r="V9" s="183"/>
      <c r="W9" s="49" t="s">
        <v>131</v>
      </c>
      <c r="X9" s="141">
        <f>C9*'13. Pro-forma Costs'!$I$42</f>
        <v>7.4290000000000003</v>
      </c>
      <c r="Y9" s="141">
        <f>D9*'13. Pro-forma Costs'!$I$42</f>
        <v>14.858000000000001</v>
      </c>
      <c r="Z9" s="141">
        <f>E9*'13. Pro-forma Costs'!$I$42</f>
        <v>29.716000000000001</v>
      </c>
      <c r="AA9" s="183"/>
    </row>
    <row r="10" spans="1:85" s="48" customFormat="1" x14ac:dyDescent="0.2">
      <c r="A10" s="48" t="s">
        <v>165</v>
      </c>
      <c r="B10" s="48" t="s">
        <v>288</v>
      </c>
      <c r="C10" s="49">
        <v>5</v>
      </c>
      <c r="D10" s="50">
        <v>10</v>
      </c>
      <c r="E10" s="49">
        <v>15</v>
      </c>
      <c r="F10" s="48" t="s">
        <v>63</v>
      </c>
      <c r="G10" s="183"/>
      <c r="H10" s="49" t="s">
        <v>125</v>
      </c>
      <c r="I10" s="112">
        <f>'13. Pro-forma Costs'!$I$38*C10</f>
        <v>1.5602055808080808</v>
      </c>
      <c r="J10" s="112">
        <f>'13. Pro-forma Costs'!$I$38*D10</f>
        <v>3.1204111616161616</v>
      </c>
      <c r="K10" s="112">
        <f>'13. Pro-forma Costs'!$I$38*E10</f>
        <v>4.6806167424242426</v>
      </c>
      <c r="L10" s="183"/>
      <c r="M10" s="49" t="s">
        <v>125</v>
      </c>
      <c r="N10" s="141">
        <f>C10*'13. Pro-forma Costs'!$I$38</f>
        <v>1.5602055808080808</v>
      </c>
      <c r="O10" s="141">
        <f>D10*'13. Pro-forma Costs'!$I$38</f>
        <v>3.1204111616161616</v>
      </c>
      <c r="P10" s="141">
        <f>E10*'13. Pro-forma Costs'!$I$38</f>
        <v>4.6806167424242426</v>
      </c>
      <c r="Q10" s="183"/>
      <c r="R10" s="49" t="s">
        <v>121</v>
      </c>
      <c r="S10" s="141">
        <f>'13. Pro-forma Costs'!$I$24*'8. To-Be Activity Costing'!C11</f>
        <v>5.5263633333333333</v>
      </c>
      <c r="T10" s="141">
        <f>'13. Pro-forma Costs'!$I$24*'8. To-Be Activity Costing'!D11</f>
        <v>7.3684844444444444</v>
      </c>
      <c r="U10" s="141">
        <f>'13. Pro-forma Costs'!$I$24*'8. To-Be Activity Costing'!E11</f>
        <v>11.052726666666667</v>
      </c>
      <c r="V10" s="183"/>
      <c r="W10" s="49" t="s">
        <v>131</v>
      </c>
      <c r="X10" s="141">
        <f>C10*'13. Pro-forma Costs'!$I$42</f>
        <v>1.2381666666666666</v>
      </c>
      <c r="Y10" s="141">
        <f>D10*'13. Pro-forma Costs'!$I$42</f>
        <v>2.4763333333333333</v>
      </c>
      <c r="Z10" s="141">
        <f>E10*'13. Pro-forma Costs'!$I$42</f>
        <v>3.7145000000000001</v>
      </c>
      <c r="AA10" s="183"/>
    </row>
    <row r="11" spans="1:85" s="48" customFormat="1" x14ac:dyDescent="0.2">
      <c r="A11" s="48" t="s">
        <v>165</v>
      </c>
      <c r="B11" s="48" t="s">
        <v>173</v>
      </c>
      <c r="C11" s="49">
        <v>15</v>
      </c>
      <c r="D11" s="50">
        <v>20</v>
      </c>
      <c r="E11" s="49">
        <v>30</v>
      </c>
      <c r="F11" s="48" t="s">
        <v>294</v>
      </c>
      <c r="G11" s="183"/>
      <c r="H11" s="58" t="s">
        <v>302</v>
      </c>
      <c r="I11" s="112">
        <f>('13. Pro-forma Costs'!$I$42+'13. Pro-forma Costs'!$I$38+'13. Pro-forma Costs'!$I$15)*C11</f>
        <v>17.908891742424242</v>
      </c>
      <c r="J11" s="112">
        <f>('13. Pro-forma Costs'!$I$42+'13. Pro-forma Costs'!$I$38+'13. Pro-forma Costs'!$I$15)*D11</f>
        <v>23.878522323232325</v>
      </c>
      <c r="K11" s="112">
        <f>('13. Pro-forma Costs'!$I$42+'13. Pro-forma Costs'!$I$38+'13. Pro-forma Costs'!$I$15)*E11</f>
        <v>35.817783484848484</v>
      </c>
      <c r="L11" s="183"/>
      <c r="M11" s="49" t="s">
        <v>334</v>
      </c>
      <c r="N11" s="141">
        <f>('13. Pro-forma Costs'!$I$38+'13. Pro-forma Costs'!$I$6+'13. Pro-forma Costs'!$I$15+'13. Pro-forma Costs'!$I$15+'13. Pro-forma Costs'!$I$12)*C11</f>
        <v>63.824908333333326</v>
      </c>
      <c r="O11" s="141">
        <f>('13. Pro-forma Costs'!$I$38+'13. Pro-forma Costs'!$I$6+'13. Pro-forma Costs'!$I$15+'13. Pro-forma Costs'!$I$15+'13. Pro-forma Costs'!$I$12)*D11</f>
        <v>85.099877777777778</v>
      </c>
      <c r="P11" s="141">
        <f>('13. Pro-forma Costs'!$I$38+'13. Pro-forma Costs'!$I$6+'13. Pro-forma Costs'!$I$15+'13. Pro-forma Costs'!$I$15+'13. Pro-forma Costs'!$I$12)*E11</f>
        <v>127.64981666666665</v>
      </c>
      <c r="Q11" s="183"/>
      <c r="R11" s="49" t="s">
        <v>372</v>
      </c>
      <c r="S11" s="141">
        <f>C11*('13. Pro-forma Costs'!$I$24+'13. Pro-forma Costs'!$I$24+'13. Pro-forma Costs'!$I$38)</f>
        <v>15.73334340909091</v>
      </c>
      <c r="T11" s="141">
        <f>D11*('13. Pro-forma Costs'!$I$24+'13. Pro-forma Costs'!$I$24+'13. Pro-forma Costs'!$I$38)</f>
        <v>20.977791212121211</v>
      </c>
      <c r="U11" s="141">
        <f>E11*('13. Pro-forma Costs'!$I$24+'13. Pro-forma Costs'!$I$24+'13. Pro-forma Costs'!$I$38)</f>
        <v>31.46668681818182</v>
      </c>
      <c r="V11" s="183"/>
      <c r="W11" s="49" t="s">
        <v>347</v>
      </c>
      <c r="X11" s="141">
        <f>C11*('13. Pro-forma Costs'!$I$6+'13. Pro-forma Costs'!$I$17+'13. Pro-forma Costs'!$I$21+'13. Pro-forma Costs'!$I$38+'13. Pro-forma Costs'!$I$42)</f>
        <v>51.508054924242423</v>
      </c>
      <c r="Y11" s="141">
        <f>D11*('13. Pro-forma Costs'!$I$6+'13. Pro-forma Costs'!$I$17+'13. Pro-forma Costs'!$I$21+'13. Pro-forma Costs'!$I$38+'13. Pro-forma Costs'!$I$42)</f>
        <v>68.677406565656568</v>
      </c>
      <c r="Z11" s="141">
        <f>E11*('13. Pro-forma Costs'!$I$6+'13. Pro-forma Costs'!$I$17+'13. Pro-forma Costs'!$I$21+'13. Pro-forma Costs'!$I$38+'13. Pro-forma Costs'!$I$42)</f>
        <v>103.01610984848485</v>
      </c>
      <c r="AA11" s="183"/>
    </row>
    <row r="12" spans="1:85" s="51" customFormat="1" x14ac:dyDescent="0.2">
      <c r="A12" s="51" t="s">
        <v>165</v>
      </c>
      <c r="B12" s="51" t="s">
        <v>224</v>
      </c>
      <c r="C12" s="49">
        <v>90</v>
      </c>
      <c r="D12" s="50">
        <v>120</v>
      </c>
      <c r="E12" s="49">
        <v>150</v>
      </c>
      <c r="F12" s="48" t="s">
        <v>294</v>
      </c>
      <c r="G12" s="183"/>
      <c r="H12" s="58" t="s">
        <v>302</v>
      </c>
      <c r="I12" s="112">
        <f>('13. Pro-forma Costs'!$I$42+'13. Pro-forma Costs'!$I$38+'13. Pro-forma Costs'!$I$15)*C12</f>
        <v>107.45335045454546</v>
      </c>
      <c r="J12" s="112">
        <f>('13. Pro-forma Costs'!$I$42+'13. Pro-forma Costs'!$I$38+'13. Pro-forma Costs'!$I$15)*D12</f>
        <v>143.27113393939393</v>
      </c>
      <c r="K12" s="112">
        <f>('13. Pro-forma Costs'!$I$42+'13. Pro-forma Costs'!$I$38+'13. Pro-forma Costs'!$I$15)*E12</f>
        <v>179.08891742424242</v>
      </c>
      <c r="L12" s="186"/>
      <c r="M12" s="49" t="s">
        <v>334</v>
      </c>
      <c r="N12" s="141">
        <f>('13. Pro-forma Costs'!$I$38+'13. Pro-forma Costs'!$I$6+'13. Pro-forma Costs'!$I$15+'13. Pro-forma Costs'!$I$15+'13. Pro-forma Costs'!$I$12)*C12</f>
        <v>382.94944999999996</v>
      </c>
      <c r="O12" s="141">
        <f>('13. Pro-forma Costs'!$I$38+'13. Pro-forma Costs'!$I$6+'13. Pro-forma Costs'!$I$15+'13. Pro-forma Costs'!$I$15+'13. Pro-forma Costs'!$I$12)*D12</f>
        <v>510.59926666666661</v>
      </c>
      <c r="P12" s="141">
        <f>('13. Pro-forma Costs'!$I$38+'13. Pro-forma Costs'!$I$6+'13. Pro-forma Costs'!$I$15+'13. Pro-forma Costs'!$I$15+'13. Pro-forma Costs'!$I$12)*E12</f>
        <v>638.24908333333326</v>
      </c>
      <c r="Q12" s="186"/>
      <c r="R12" s="49" t="s">
        <v>372</v>
      </c>
      <c r="S12" s="141">
        <f>C12*('13. Pro-forma Costs'!$I$24+'13. Pro-forma Costs'!$I$24+'13. Pro-forma Costs'!$I$38)</f>
        <v>94.400060454545454</v>
      </c>
      <c r="T12" s="141">
        <f>D12*('13. Pro-forma Costs'!$I$24+'13. Pro-forma Costs'!$I$24+'13. Pro-forma Costs'!$I$38)</f>
        <v>125.86674727272728</v>
      </c>
      <c r="U12" s="141">
        <f>E12*('13. Pro-forma Costs'!$I$24+'13. Pro-forma Costs'!$I$24+'13. Pro-forma Costs'!$I$38)</f>
        <v>157.33343409090909</v>
      </c>
      <c r="V12" s="186"/>
      <c r="W12" s="49" t="s">
        <v>347</v>
      </c>
      <c r="X12" s="141">
        <f>C12*('13. Pro-forma Costs'!$I$6+'13. Pro-forma Costs'!$I$17+'13. Pro-forma Costs'!$I$21+'13. Pro-forma Costs'!$I$38+'13. Pro-forma Costs'!$I$42)</f>
        <v>309.04832954545452</v>
      </c>
      <c r="Y12" s="141">
        <f>D12*('13. Pro-forma Costs'!$I$6+'13. Pro-forma Costs'!$I$17+'13. Pro-forma Costs'!$I$21+'13. Pro-forma Costs'!$I$38+'13. Pro-forma Costs'!$I$42)</f>
        <v>412.06443939393938</v>
      </c>
      <c r="Z12" s="141">
        <f>E12*('13. Pro-forma Costs'!$I$6+'13. Pro-forma Costs'!$I$17+'13. Pro-forma Costs'!$I$21+'13. Pro-forma Costs'!$I$38+'13. Pro-forma Costs'!$I$42)</f>
        <v>515.08054924242424</v>
      </c>
      <c r="AA12" s="186"/>
    </row>
    <row r="13" spans="1:85" s="48" customFormat="1" x14ac:dyDescent="0.2">
      <c r="A13" s="48" t="s">
        <v>165</v>
      </c>
      <c r="B13" s="48" t="s">
        <v>66</v>
      </c>
      <c r="C13" s="49">
        <v>15</v>
      </c>
      <c r="D13" s="50">
        <v>30</v>
      </c>
      <c r="E13" s="49">
        <v>60</v>
      </c>
      <c r="F13" s="48" t="s">
        <v>63</v>
      </c>
      <c r="G13" s="183"/>
      <c r="H13" s="49" t="s">
        <v>125</v>
      </c>
      <c r="I13" s="112">
        <f>'13. Pro-forma Costs'!$I$38*C13</f>
        <v>4.6806167424242426</v>
      </c>
      <c r="J13" s="112">
        <f>'13. Pro-forma Costs'!$I$38*D13</f>
        <v>9.3612334848484853</v>
      </c>
      <c r="K13" s="112">
        <f>'13. Pro-forma Costs'!$I$38*E13</f>
        <v>18.722466969696971</v>
      </c>
      <c r="L13" s="183"/>
      <c r="M13" s="49" t="s">
        <v>125</v>
      </c>
      <c r="N13" s="141">
        <f>C13*'13. Pro-forma Costs'!$I$38</f>
        <v>4.6806167424242426</v>
      </c>
      <c r="O13" s="141">
        <f>D13*'13. Pro-forma Costs'!$I$38</f>
        <v>9.3612334848484853</v>
      </c>
      <c r="P13" s="141">
        <f>E13*'13. Pro-forma Costs'!$I$38</f>
        <v>18.722466969696971</v>
      </c>
      <c r="Q13" s="183"/>
      <c r="R13" s="49" t="s">
        <v>121</v>
      </c>
      <c r="S13" s="141">
        <f>'13. Pro-forma Costs'!$I$24*'8. To-Be Activity Costing'!C14</f>
        <v>5.5263633333333333</v>
      </c>
      <c r="T13" s="141">
        <f>'13. Pro-forma Costs'!$I$24*'8. To-Be Activity Costing'!D14</f>
        <v>7.3684844444444444</v>
      </c>
      <c r="U13" s="141">
        <f>'13. Pro-forma Costs'!$I$24*'8. To-Be Activity Costing'!E14</f>
        <v>9.2106055555555546</v>
      </c>
      <c r="V13" s="183"/>
      <c r="W13" s="49" t="s">
        <v>131</v>
      </c>
      <c r="X13" s="141">
        <f>C13*'13. Pro-forma Costs'!$I$42</f>
        <v>3.7145000000000001</v>
      </c>
      <c r="Y13" s="141">
        <f>D13*'13. Pro-forma Costs'!$I$42</f>
        <v>7.4290000000000003</v>
      </c>
      <c r="Z13" s="141">
        <f>E13*'13. Pro-forma Costs'!$I$42</f>
        <v>14.858000000000001</v>
      </c>
      <c r="AA13" s="183"/>
    </row>
    <row r="14" spans="1:85" s="48" customFormat="1" ht="13.5" thickBot="1" x14ac:dyDescent="0.25">
      <c r="A14" s="72" t="s">
        <v>165</v>
      </c>
      <c r="B14" s="72" t="s">
        <v>67</v>
      </c>
      <c r="C14" s="62">
        <v>15</v>
      </c>
      <c r="D14" s="63">
        <v>20</v>
      </c>
      <c r="E14" s="62">
        <v>25</v>
      </c>
      <c r="F14" s="72" t="s">
        <v>294</v>
      </c>
      <c r="G14" s="183"/>
      <c r="H14" s="64" t="s">
        <v>302</v>
      </c>
      <c r="I14" s="118">
        <f>('13. Pro-forma Costs'!$I$42+'13. Pro-forma Costs'!$I$38+'13. Pro-forma Costs'!$I$15)*C14</f>
        <v>17.908891742424242</v>
      </c>
      <c r="J14" s="118">
        <f>('13. Pro-forma Costs'!$I$42+'13. Pro-forma Costs'!$I$38+'13. Pro-forma Costs'!$I$15)*D14</f>
        <v>23.878522323232325</v>
      </c>
      <c r="K14" s="118">
        <f>('13. Pro-forma Costs'!$I$42+'13. Pro-forma Costs'!$I$38+'13. Pro-forma Costs'!$I$15)*E14</f>
        <v>29.848152904040404</v>
      </c>
      <c r="L14" s="183"/>
      <c r="M14" s="62" t="s">
        <v>334</v>
      </c>
      <c r="N14" s="142">
        <f>('13. Pro-forma Costs'!$I$38+'13. Pro-forma Costs'!$I$6+'13. Pro-forma Costs'!$I$15+'13. Pro-forma Costs'!$I$15+'13. Pro-forma Costs'!$I$12)*C14</f>
        <v>63.824908333333326</v>
      </c>
      <c r="O14" s="142">
        <f>('13. Pro-forma Costs'!$I$38+'13. Pro-forma Costs'!$I$6+'13. Pro-forma Costs'!$I$15+'13. Pro-forma Costs'!$I$15+'13. Pro-forma Costs'!$I$12)*D14</f>
        <v>85.099877777777778</v>
      </c>
      <c r="P14" s="142">
        <f>('13. Pro-forma Costs'!$I$38+'13. Pro-forma Costs'!$I$6+'13. Pro-forma Costs'!$I$15+'13. Pro-forma Costs'!$I$15+'13. Pro-forma Costs'!$I$12)*E14</f>
        <v>106.37484722222221</v>
      </c>
      <c r="Q14" s="183"/>
      <c r="R14" s="62" t="s">
        <v>372</v>
      </c>
      <c r="S14" s="142">
        <f>C14*('13. Pro-forma Costs'!$I$24+'13. Pro-forma Costs'!$I$24*'13. Pro-forma Costs'!$I$38)</f>
        <v>7.2508159161812955</v>
      </c>
      <c r="T14" s="142">
        <f>D14*('13. Pro-forma Costs'!$I$24+'13. Pro-forma Costs'!$I$24*'13. Pro-forma Costs'!$I$38)</f>
        <v>9.6677545549083952</v>
      </c>
      <c r="U14" s="142">
        <f>E14*('13. Pro-forma Costs'!$I$24+'13. Pro-forma Costs'!$I$24*'13. Pro-forma Costs'!$I$38)</f>
        <v>12.084693193635493</v>
      </c>
      <c r="V14" s="183"/>
      <c r="W14" s="62" t="s">
        <v>347</v>
      </c>
      <c r="X14" s="142">
        <f>C14*('13. Pro-forma Costs'!$I$6+'13. Pro-forma Costs'!$I$17+'13. Pro-forma Costs'!$I$21+'13. Pro-forma Costs'!$I$38+'13. Pro-forma Costs'!$I$42)</f>
        <v>51.508054924242423</v>
      </c>
      <c r="Y14" s="142">
        <f>D14*('13. Pro-forma Costs'!$I$6+'13. Pro-forma Costs'!$I$17+'13. Pro-forma Costs'!$I$21+'13. Pro-forma Costs'!$I$38+'13. Pro-forma Costs'!$I$42)</f>
        <v>68.677406565656568</v>
      </c>
      <c r="Z14" s="142">
        <f>E14*('13. Pro-forma Costs'!$I$6+'13. Pro-forma Costs'!$I$17+'13. Pro-forma Costs'!$I$21+'13. Pro-forma Costs'!$I$38+'13. Pro-forma Costs'!$I$42)</f>
        <v>85.846758207070707</v>
      </c>
      <c r="AA14" s="183"/>
    </row>
    <row r="15" spans="1:85" s="73" customFormat="1" ht="13.5" thickTop="1" x14ac:dyDescent="0.2">
      <c r="A15" s="73" t="s">
        <v>305</v>
      </c>
      <c r="B15" s="65">
        <f>COUNTA(B7:B14)</f>
        <v>8</v>
      </c>
      <c r="C15" s="65"/>
      <c r="D15" s="65"/>
      <c r="E15" s="65"/>
      <c r="G15" s="184"/>
      <c r="H15" s="65"/>
      <c r="I15" s="144">
        <f>SUM(I7:I14)</f>
        <v>182.27627345959593</v>
      </c>
      <c r="J15" s="144">
        <f t="shared" ref="J15:K15" si="5">SUM(J7:J14)</f>
        <v>269.03845762626264</v>
      </c>
      <c r="K15" s="144">
        <f t="shared" si="5"/>
        <v>375.81212260101017</v>
      </c>
      <c r="L15" s="184"/>
      <c r="M15" s="65"/>
      <c r="N15" s="144">
        <f>SUM(N7:N14)</f>
        <v>549.60440618686857</v>
      </c>
      <c r="O15" s="144">
        <f t="shared" ref="O15:P15" si="6">SUM(O7:O14)</f>
        <v>758.80930126262626</v>
      </c>
      <c r="P15" s="144">
        <f t="shared" si="6"/>
        <v>1003.3310160101009</v>
      </c>
      <c r="Q15" s="184"/>
      <c r="R15" s="65"/>
      <c r="S15" s="144">
        <f>SUM(S7:S14)</f>
        <v>146.85815755759543</v>
      </c>
      <c r="T15" s="144">
        <f t="shared" ref="T15" si="7">SUM(T7:T14)</f>
        <v>208.09168415086799</v>
      </c>
      <c r="U15" s="144">
        <f t="shared" ref="U15" si="8">SUM(U7:U14)</f>
        <v>287.46450632494862</v>
      </c>
      <c r="V15" s="184"/>
      <c r="W15" s="65"/>
      <c r="X15" s="144">
        <f>SUM(X7:X14)</f>
        <v>443.01860606060603</v>
      </c>
      <c r="Y15" s="144">
        <f t="shared" ref="Y15:Z15" si="9">SUM(Y7:Y14)</f>
        <v>611.32758585858585</v>
      </c>
      <c r="Z15" s="144">
        <f t="shared" si="9"/>
        <v>807.94941729797972</v>
      </c>
      <c r="AA15" s="184"/>
    </row>
    <row r="16" spans="1:85" s="48" customFormat="1" x14ac:dyDescent="0.2">
      <c r="C16" s="49"/>
      <c r="D16" s="50"/>
      <c r="E16" s="49"/>
      <c r="G16" s="183"/>
      <c r="H16" s="49"/>
      <c r="I16" s="141"/>
      <c r="J16" s="141"/>
      <c r="K16" s="141"/>
      <c r="L16" s="183"/>
      <c r="M16" s="49"/>
      <c r="Q16" s="183"/>
      <c r="R16" s="49"/>
      <c r="V16" s="183"/>
      <c r="W16" s="49"/>
      <c r="AA16" s="183"/>
    </row>
    <row r="17" spans="1:27" s="48" customFormat="1" x14ac:dyDescent="0.2">
      <c r="A17" s="71" t="s">
        <v>166</v>
      </c>
      <c r="B17" s="71" t="s">
        <v>85</v>
      </c>
      <c r="C17" s="68">
        <v>120</v>
      </c>
      <c r="D17" s="69">
        <v>180</v>
      </c>
      <c r="E17" s="68">
        <v>240</v>
      </c>
      <c r="F17" s="71" t="s">
        <v>63</v>
      </c>
      <c r="G17" s="183"/>
      <c r="H17" s="68" t="s">
        <v>125</v>
      </c>
      <c r="I17" s="115">
        <f>'13. Pro-forma Costs'!$I$38*C17</f>
        <v>37.444933939393941</v>
      </c>
      <c r="J17" s="115">
        <f>'13. Pro-forma Costs'!$I$38*D17</f>
        <v>56.167400909090908</v>
      </c>
      <c r="K17" s="115">
        <f>'13. Pro-forma Costs'!$I$38*E17</f>
        <v>74.889867878787882</v>
      </c>
      <c r="L17" s="183"/>
      <c r="M17" s="68" t="s">
        <v>125</v>
      </c>
      <c r="N17" s="140">
        <f>C17*'13. Pro-forma Costs'!$I$38</f>
        <v>37.444933939393941</v>
      </c>
      <c r="O17" s="140">
        <f>D17*'13. Pro-forma Costs'!$I$38</f>
        <v>56.167400909090908</v>
      </c>
      <c r="P17" s="140">
        <f>E17*'13. Pro-forma Costs'!$I$38</f>
        <v>74.889867878787882</v>
      </c>
      <c r="Q17" s="183"/>
      <c r="R17" s="68" t="s">
        <v>121</v>
      </c>
      <c r="S17" s="140">
        <f>'13. Pro-forma Costs'!$I$24*'8. To-Be Activity Costing'!C18</f>
        <v>11.052726666666667</v>
      </c>
      <c r="T17" s="140">
        <f>'13. Pro-forma Costs'!$I$24*'8. To-Be Activity Costing'!D18</f>
        <v>22.105453333333333</v>
      </c>
      <c r="U17" s="140">
        <f>'13. Pro-forma Costs'!$I$24*'8. To-Be Activity Costing'!E18</f>
        <v>33.158180000000002</v>
      </c>
      <c r="V17" s="183"/>
      <c r="W17" s="68" t="s">
        <v>131</v>
      </c>
      <c r="X17" s="140">
        <f>C17*'13. Pro-forma Costs'!$I$42</f>
        <v>29.716000000000001</v>
      </c>
      <c r="Y17" s="140">
        <f>D17*'13. Pro-forma Costs'!$I$42</f>
        <v>44.574000000000005</v>
      </c>
      <c r="Z17" s="140">
        <f>E17*'13. Pro-forma Costs'!$I$42</f>
        <v>59.432000000000002</v>
      </c>
      <c r="AA17" s="183"/>
    </row>
    <row r="18" spans="1:27" s="48" customFormat="1" x14ac:dyDescent="0.2">
      <c r="A18" s="48" t="s">
        <v>166</v>
      </c>
      <c r="B18" s="48" t="s">
        <v>360</v>
      </c>
      <c r="C18" s="49">
        <v>30</v>
      </c>
      <c r="D18" s="50">
        <v>60</v>
      </c>
      <c r="E18" s="49">
        <v>90</v>
      </c>
      <c r="F18" s="48" t="s">
        <v>63</v>
      </c>
      <c r="G18" s="183"/>
      <c r="H18" s="49" t="s">
        <v>125</v>
      </c>
      <c r="I18" s="112">
        <f>'13. Pro-forma Costs'!$I$38*C18</f>
        <v>9.3612334848484853</v>
      </c>
      <c r="J18" s="112">
        <f>'13. Pro-forma Costs'!$I$38*D18</f>
        <v>18.722466969696971</v>
      </c>
      <c r="K18" s="112">
        <f>'13. Pro-forma Costs'!$I$38*E18</f>
        <v>28.083700454545454</v>
      </c>
      <c r="L18" s="183"/>
      <c r="M18" s="49" t="s">
        <v>125</v>
      </c>
      <c r="N18" s="141">
        <f>C18*'13. Pro-forma Costs'!$I$38</f>
        <v>9.3612334848484853</v>
      </c>
      <c r="O18" s="141">
        <f>D18*'13. Pro-forma Costs'!$I$38</f>
        <v>18.722466969696971</v>
      </c>
      <c r="P18" s="141">
        <f>E18*'13. Pro-forma Costs'!$I$38</f>
        <v>28.083700454545454</v>
      </c>
      <c r="Q18" s="183"/>
      <c r="R18" s="49" t="s">
        <v>121</v>
      </c>
      <c r="S18" s="141">
        <f>'13. Pro-forma Costs'!$I$24*'8. To-Be Activity Costing'!C19</f>
        <v>1.8421211111111111</v>
      </c>
      <c r="T18" s="141">
        <f>'13. Pro-forma Costs'!$I$24*'8. To-Be Activity Costing'!D19</f>
        <v>3.6842422222222222</v>
      </c>
      <c r="U18" s="141">
        <f>'13. Pro-forma Costs'!$I$24*'8. To-Be Activity Costing'!E19</f>
        <v>5.5263633333333333</v>
      </c>
      <c r="V18" s="183"/>
      <c r="W18" s="49" t="s">
        <v>131</v>
      </c>
      <c r="X18" s="141">
        <f>C18*'13. Pro-forma Costs'!$I$42</f>
        <v>7.4290000000000003</v>
      </c>
      <c r="Y18" s="141">
        <f>D18*'13. Pro-forma Costs'!$I$42</f>
        <v>14.858000000000001</v>
      </c>
      <c r="Z18" s="141">
        <f>E18*'13. Pro-forma Costs'!$I$42</f>
        <v>22.287000000000003</v>
      </c>
      <c r="AA18" s="183"/>
    </row>
    <row r="19" spans="1:27" s="48" customFormat="1" x14ac:dyDescent="0.2">
      <c r="A19" s="48" t="s">
        <v>166</v>
      </c>
      <c r="B19" s="48" t="s">
        <v>89</v>
      </c>
      <c r="C19" s="49">
        <v>5</v>
      </c>
      <c r="D19" s="50">
        <v>10</v>
      </c>
      <c r="E19" s="49">
        <v>15</v>
      </c>
      <c r="F19" s="48" t="s">
        <v>63</v>
      </c>
      <c r="G19" s="183"/>
      <c r="H19" s="49" t="s">
        <v>125</v>
      </c>
      <c r="I19" s="112">
        <f>'13. Pro-forma Costs'!$I$38*C19</f>
        <v>1.5602055808080808</v>
      </c>
      <c r="J19" s="112">
        <f>'13. Pro-forma Costs'!$I$38*D19</f>
        <v>3.1204111616161616</v>
      </c>
      <c r="K19" s="112">
        <f>'13. Pro-forma Costs'!$I$38*E19</f>
        <v>4.6806167424242426</v>
      </c>
      <c r="L19" s="183"/>
      <c r="M19" s="49" t="s">
        <v>125</v>
      </c>
      <c r="N19" s="141">
        <f>C19*'13. Pro-forma Costs'!$I$38</f>
        <v>1.5602055808080808</v>
      </c>
      <c r="O19" s="141">
        <f>D19*'13. Pro-forma Costs'!$I$38</f>
        <v>3.1204111616161616</v>
      </c>
      <c r="P19" s="141">
        <f>E19*'13. Pro-forma Costs'!$I$38</f>
        <v>4.6806167424242426</v>
      </c>
      <c r="Q19" s="183"/>
      <c r="R19" s="49" t="s">
        <v>121</v>
      </c>
      <c r="S19" s="141">
        <f>'13. Pro-forma Costs'!$I$24*'8. To-Be Activity Costing'!C20</f>
        <v>5.5263633333333333</v>
      </c>
      <c r="T19" s="141">
        <f>'13. Pro-forma Costs'!$I$24*'8. To-Be Activity Costing'!D20</f>
        <v>7.3684844444444444</v>
      </c>
      <c r="U19" s="141">
        <f>'13. Pro-forma Costs'!$I$24*'8. To-Be Activity Costing'!E20</f>
        <v>11.052726666666667</v>
      </c>
      <c r="V19" s="183"/>
      <c r="W19" s="49" t="s">
        <v>131</v>
      </c>
      <c r="X19" s="141">
        <f>C19*'13. Pro-forma Costs'!$I$42</f>
        <v>1.2381666666666666</v>
      </c>
      <c r="Y19" s="141">
        <f>D19*'13. Pro-forma Costs'!$I$42</f>
        <v>2.4763333333333333</v>
      </c>
      <c r="Z19" s="141">
        <f>E19*'13. Pro-forma Costs'!$I$42</f>
        <v>3.7145000000000001</v>
      </c>
      <c r="AA19" s="183"/>
    </row>
    <row r="20" spans="1:27" s="48" customFormat="1" x14ac:dyDescent="0.2">
      <c r="A20" s="48" t="s">
        <v>166</v>
      </c>
      <c r="B20" s="48" t="s">
        <v>174</v>
      </c>
      <c r="C20" s="49">
        <v>15</v>
      </c>
      <c r="D20" s="50">
        <v>20</v>
      </c>
      <c r="E20" s="49">
        <v>30</v>
      </c>
      <c r="F20" s="48" t="s">
        <v>294</v>
      </c>
      <c r="G20" s="183"/>
      <c r="H20" s="58" t="s">
        <v>302</v>
      </c>
      <c r="I20" s="112">
        <f>('13. Pro-forma Costs'!$I$42+'13. Pro-forma Costs'!$I$38+'13. Pro-forma Costs'!$I$15)*C20</f>
        <v>17.908891742424242</v>
      </c>
      <c r="J20" s="112">
        <f>('13. Pro-forma Costs'!$I$42+'13. Pro-forma Costs'!$I$38+'13. Pro-forma Costs'!$I$15)*D20</f>
        <v>23.878522323232325</v>
      </c>
      <c r="K20" s="112">
        <f>('13. Pro-forma Costs'!$I$42+'13. Pro-forma Costs'!$I$38+'13. Pro-forma Costs'!$I$15)*E20</f>
        <v>35.817783484848484</v>
      </c>
      <c r="L20" s="183"/>
      <c r="M20" s="49" t="s">
        <v>334</v>
      </c>
      <c r="N20" s="141">
        <f>('13. Pro-forma Costs'!$I$38+'13. Pro-forma Costs'!$I$6+'13. Pro-forma Costs'!$I$15+'13. Pro-forma Costs'!$I$15+'13. Pro-forma Costs'!$I$12)*C20</f>
        <v>63.824908333333326</v>
      </c>
      <c r="O20" s="141">
        <f>('13. Pro-forma Costs'!$I$38+'13. Pro-forma Costs'!$I$6+'13. Pro-forma Costs'!$I$15+'13. Pro-forma Costs'!$I$15+'13. Pro-forma Costs'!$I$12)*D20</f>
        <v>85.099877777777778</v>
      </c>
      <c r="P20" s="141">
        <f>('13. Pro-forma Costs'!$I$38+'13. Pro-forma Costs'!$I$6+'13. Pro-forma Costs'!$I$15+'13. Pro-forma Costs'!$I$15+'13. Pro-forma Costs'!$I$12)*E20</f>
        <v>127.64981666666665</v>
      </c>
      <c r="Q20" s="183"/>
      <c r="R20" s="49" t="s">
        <v>372</v>
      </c>
      <c r="S20" s="141">
        <f>C20*('13. Pro-forma Costs'!$I$24+'13. Pro-forma Costs'!$I$24+'13. Pro-forma Costs'!$I$38)</f>
        <v>15.73334340909091</v>
      </c>
      <c r="T20" s="141">
        <f>D20*('13. Pro-forma Costs'!$I$24+'13. Pro-forma Costs'!$I$24+'13. Pro-forma Costs'!$I$38)</f>
        <v>20.977791212121211</v>
      </c>
      <c r="U20" s="141">
        <f>E20*('13. Pro-forma Costs'!$I$24+'13. Pro-forma Costs'!$I$24+'13. Pro-forma Costs'!$I$38)</f>
        <v>31.46668681818182</v>
      </c>
      <c r="V20" s="183"/>
      <c r="W20" s="49" t="s">
        <v>347</v>
      </c>
      <c r="X20" s="141">
        <f>C20*('13. Pro-forma Costs'!$I$6+'13. Pro-forma Costs'!$I$17+'13. Pro-forma Costs'!$I$21+'13. Pro-forma Costs'!$I$38+'13. Pro-forma Costs'!$I$42)</f>
        <v>51.508054924242423</v>
      </c>
      <c r="Y20" s="141">
        <f>D20*('13. Pro-forma Costs'!$I$6+'13. Pro-forma Costs'!$I$17+'13. Pro-forma Costs'!$I$21+'13. Pro-forma Costs'!$I$38+'13. Pro-forma Costs'!$I$42)</f>
        <v>68.677406565656568</v>
      </c>
      <c r="Z20" s="141">
        <f>E20*('13. Pro-forma Costs'!$I$6+'13. Pro-forma Costs'!$I$17+'13. Pro-forma Costs'!$I$21+'13. Pro-forma Costs'!$I$38+'13. Pro-forma Costs'!$I$42)</f>
        <v>103.01610984848485</v>
      </c>
      <c r="AA20" s="183"/>
    </row>
    <row r="21" spans="1:27" s="48" customFormat="1" x14ac:dyDescent="0.2">
      <c r="A21" s="48" t="s">
        <v>166</v>
      </c>
      <c r="B21" s="48" t="s">
        <v>87</v>
      </c>
      <c r="C21" s="49">
        <v>60</v>
      </c>
      <c r="D21" s="50">
        <v>90</v>
      </c>
      <c r="E21" s="49">
        <v>120</v>
      </c>
      <c r="F21" s="48" t="s">
        <v>294</v>
      </c>
      <c r="G21" s="183"/>
      <c r="H21" s="58" t="s">
        <v>302</v>
      </c>
      <c r="I21" s="112">
        <f>('13. Pro-forma Costs'!$I$42+'13. Pro-forma Costs'!$I$38+'13. Pro-forma Costs'!$I$15)*C21</f>
        <v>71.635566969696967</v>
      </c>
      <c r="J21" s="112">
        <f>('13. Pro-forma Costs'!$I$42+'13. Pro-forma Costs'!$I$38+'13. Pro-forma Costs'!$I$15)*D21</f>
        <v>107.45335045454546</v>
      </c>
      <c r="K21" s="112">
        <f>('13. Pro-forma Costs'!$I$42+'13. Pro-forma Costs'!$I$38+'13. Pro-forma Costs'!$I$15)*E21</f>
        <v>143.27113393939393</v>
      </c>
      <c r="L21" s="183"/>
      <c r="M21" s="49" t="s">
        <v>334</v>
      </c>
      <c r="N21" s="141">
        <f>('13. Pro-forma Costs'!$I$38+'13. Pro-forma Costs'!$I$6+'13. Pro-forma Costs'!$I$15+'13. Pro-forma Costs'!$I$15+'13. Pro-forma Costs'!$I$12)*C21</f>
        <v>255.2996333333333</v>
      </c>
      <c r="O21" s="141">
        <f>('13. Pro-forma Costs'!$I$38+'13. Pro-forma Costs'!$I$6+'13. Pro-forma Costs'!$I$15+'13. Pro-forma Costs'!$I$15+'13. Pro-forma Costs'!$I$12)*D21</f>
        <v>382.94944999999996</v>
      </c>
      <c r="P21" s="141">
        <f>('13. Pro-forma Costs'!$I$38+'13. Pro-forma Costs'!$I$6+'13. Pro-forma Costs'!$I$15+'13. Pro-forma Costs'!$I$15+'13. Pro-forma Costs'!$I$12)*E21</f>
        <v>510.59926666666661</v>
      </c>
      <c r="Q21" s="183"/>
      <c r="R21" s="49" t="s">
        <v>372</v>
      </c>
      <c r="S21" s="141">
        <f>C21*('13. Pro-forma Costs'!$I$24+'13. Pro-forma Costs'!$I$24+'13. Pro-forma Costs'!$I$38)</f>
        <v>62.93337363636364</v>
      </c>
      <c r="T21" s="141">
        <f>D21*('13. Pro-forma Costs'!$I$24+'13. Pro-forma Costs'!$I$24+'13. Pro-forma Costs'!$I$38)</f>
        <v>94.400060454545454</v>
      </c>
      <c r="U21" s="141">
        <f>E21*('13. Pro-forma Costs'!$I$24+'13. Pro-forma Costs'!$I$24+'13. Pro-forma Costs'!$I$38)</f>
        <v>125.86674727272728</v>
      </c>
      <c r="V21" s="183"/>
      <c r="W21" s="49" t="s">
        <v>347</v>
      </c>
      <c r="X21" s="141">
        <f>C21*('13. Pro-forma Costs'!$I$6+'13. Pro-forma Costs'!$I$17+'13. Pro-forma Costs'!$I$21+'13. Pro-forma Costs'!$I$38+'13. Pro-forma Costs'!$I$42)</f>
        <v>206.03221969696969</v>
      </c>
      <c r="Y21" s="141">
        <f>D21*('13. Pro-forma Costs'!$I$6+'13. Pro-forma Costs'!$I$17+'13. Pro-forma Costs'!$I$21+'13. Pro-forma Costs'!$I$38+'13. Pro-forma Costs'!$I$42)</f>
        <v>309.04832954545452</v>
      </c>
      <c r="Z21" s="141">
        <f>E21*('13. Pro-forma Costs'!$I$6+'13. Pro-forma Costs'!$I$17+'13. Pro-forma Costs'!$I$21+'13. Pro-forma Costs'!$I$38+'13. Pro-forma Costs'!$I$42)</f>
        <v>412.06443939393938</v>
      </c>
      <c r="AA21" s="183"/>
    </row>
    <row r="22" spans="1:27" s="48" customFormat="1" x14ac:dyDescent="0.2">
      <c r="A22" s="48" t="s">
        <v>166</v>
      </c>
      <c r="B22" s="48" t="s">
        <v>68</v>
      </c>
      <c r="C22" s="49">
        <v>15</v>
      </c>
      <c r="D22" s="50">
        <v>30</v>
      </c>
      <c r="E22" s="49">
        <v>45</v>
      </c>
      <c r="F22" s="48" t="s">
        <v>294</v>
      </c>
      <c r="G22" s="183"/>
      <c r="H22" s="58" t="s">
        <v>302</v>
      </c>
      <c r="I22" s="112">
        <f>('13. Pro-forma Costs'!$I$42+'13. Pro-forma Costs'!$I$38+'13. Pro-forma Costs'!$I$15)*C22</f>
        <v>17.908891742424242</v>
      </c>
      <c r="J22" s="112">
        <f>('13. Pro-forma Costs'!$I$42+'13. Pro-forma Costs'!$I$38+'13. Pro-forma Costs'!$I$15)*D22</f>
        <v>35.817783484848484</v>
      </c>
      <c r="K22" s="112">
        <f>('13. Pro-forma Costs'!$I$42+'13. Pro-forma Costs'!$I$38+'13. Pro-forma Costs'!$I$15)*E22</f>
        <v>53.726675227272729</v>
      </c>
      <c r="L22" s="183"/>
      <c r="M22" s="49" t="s">
        <v>334</v>
      </c>
      <c r="N22" s="141">
        <f>('13. Pro-forma Costs'!$I$38+'13. Pro-forma Costs'!$I$6+'13. Pro-forma Costs'!$I$15+'13. Pro-forma Costs'!$I$15+'13. Pro-forma Costs'!$I$12)*C22</f>
        <v>63.824908333333326</v>
      </c>
      <c r="O22" s="141">
        <f>('13. Pro-forma Costs'!$I$38+'13. Pro-forma Costs'!$I$6+'13. Pro-forma Costs'!$I$15+'13. Pro-forma Costs'!$I$15+'13. Pro-forma Costs'!$I$12)*D22</f>
        <v>127.64981666666665</v>
      </c>
      <c r="P22" s="141">
        <f>('13. Pro-forma Costs'!$I$38+'13. Pro-forma Costs'!$I$6+'13. Pro-forma Costs'!$I$15+'13. Pro-forma Costs'!$I$15+'13. Pro-forma Costs'!$I$12)*E22</f>
        <v>191.47472499999998</v>
      </c>
      <c r="Q22" s="183"/>
      <c r="R22" s="49" t="s">
        <v>372</v>
      </c>
      <c r="S22" s="141">
        <f>C22*('13. Pro-forma Costs'!$I$24+'13. Pro-forma Costs'!$I$24+'13. Pro-forma Costs'!$I$38)</f>
        <v>15.73334340909091</v>
      </c>
      <c r="T22" s="141">
        <f>D22*('13. Pro-forma Costs'!$I$24+'13. Pro-forma Costs'!$I$24+'13. Pro-forma Costs'!$I$38)</f>
        <v>31.46668681818182</v>
      </c>
      <c r="U22" s="141">
        <f>E22*('13. Pro-forma Costs'!$I$24+'13. Pro-forma Costs'!$I$24+'13. Pro-forma Costs'!$I$38)</f>
        <v>47.200030227272727</v>
      </c>
      <c r="V22" s="183"/>
      <c r="W22" s="49" t="s">
        <v>347</v>
      </c>
      <c r="X22" s="141">
        <f>C22*('13. Pro-forma Costs'!$I$6+'13. Pro-forma Costs'!$I$17+'13. Pro-forma Costs'!$I$21+'13. Pro-forma Costs'!$I$38+'13. Pro-forma Costs'!$I$42)</f>
        <v>51.508054924242423</v>
      </c>
      <c r="Y22" s="141">
        <f>D22*('13. Pro-forma Costs'!$I$6+'13. Pro-forma Costs'!$I$17+'13. Pro-forma Costs'!$I$21+'13. Pro-forma Costs'!$I$38+'13. Pro-forma Costs'!$I$42)</f>
        <v>103.01610984848485</v>
      </c>
      <c r="Z22" s="141">
        <f>E22*('13. Pro-forma Costs'!$I$6+'13. Pro-forma Costs'!$I$17+'13. Pro-forma Costs'!$I$21+'13. Pro-forma Costs'!$I$38+'13. Pro-forma Costs'!$I$42)</f>
        <v>154.52416477272726</v>
      </c>
      <c r="AA22" s="183"/>
    </row>
    <row r="23" spans="1:27" s="48" customFormat="1" x14ac:dyDescent="0.2">
      <c r="A23" s="48" t="s">
        <v>166</v>
      </c>
      <c r="B23" s="48" t="s">
        <v>66</v>
      </c>
      <c r="C23" s="49">
        <v>30</v>
      </c>
      <c r="D23" s="50">
        <v>60</v>
      </c>
      <c r="E23" s="49">
        <v>90</v>
      </c>
      <c r="F23" s="48" t="s">
        <v>63</v>
      </c>
      <c r="G23" s="183"/>
      <c r="H23" s="49" t="s">
        <v>131</v>
      </c>
      <c r="I23" s="112">
        <f>'13. Pro-forma Costs'!$I$42*C23</f>
        <v>7.4290000000000003</v>
      </c>
      <c r="J23" s="112">
        <f>'13. Pro-forma Costs'!$I$42*D23</f>
        <v>14.858000000000001</v>
      </c>
      <c r="K23" s="112">
        <f>'13. Pro-forma Costs'!$I$42*E23</f>
        <v>22.287000000000003</v>
      </c>
      <c r="L23" s="183"/>
      <c r="M23" s="49" t="s">
        <v>125</v>
      </c>
      <c r="N23" s="141">
        <f>C23*'13. Pro-forma Costs'!$I$38</f>
        <v>9.3612334848484853</v>
      </c>
      <c r="O23" s="141">
        <f>D23*'13. Pro-forma Costs'!$I$38</f>
        <v>18.722466969696971</v>
      </c>
      <c r="P23" s="141">
        <f>E23*'13. Pro-forma Costs'!$I$38</f>
        <v>28.083700454545454</v>
      </c>
      <c r="Q23" s="183"/>
      <c r="R23" s="49" t="s">
        <v>121</v>
      </c>
      <c r="S23" s="141">
        <f>'13. Pro-forma Costs'!$I$24*'8. To-Be Activity Costing'!C24</f>
        <v>5.5263633333333333</v>
      </c>
      <c r="T23" s="141">
        <f>'13. Pro-forma Costs'!$I$24*'8. To-Be Activity Costing'!D24</f>
        <v>7.3684844444444444</v>
      </c>
      <c r="U23" s="141">
        <f>'13. Pro-forma Costs'!$I$24*'8. To-Be Activity Costing'!E24</f>
        <v>9.2106055555555546</v>
      </c>
      <c r="V23" s="183"/>
      <c r="W23" s="49" t="s">
        <v>131</v>
      </c>
      <c r="X23" s="141">
        <f>C23*'13. Pro-forma Costs'!$I$42</f>
        <v>7.4290000000000003</v>
      </c>
      <c r="Y23" s="141">
        <f>D23*'13. Pro-forma Costs'!$I$42</f>
        <v>14.858000000000001</v>
      </c>
      <c r="Z23" s="141">
        <f>E23*'13. Pro-forma Costs'!$I$42</f>
        <v>22.287000000000003</v>
      </c>
      <c r="AA23" s="183"/>
    </row>
    <row r="24" spans="1:27" s="48" customFormat="1" ht="13.5" thickBot="1" x14ac:dyDescent="0.25">
      <c r="A24" s="72" t="s">
        <v>166</v>
      </c>
      <c r="B24" s="72" t="s">
        <v>67</v>
      </c>
      <c r="C24" s="62">
        <v>15</v>
      </c>
      <c r="D24" s="63">
        <v>20</v>
      </c>
      <c r="E24" s="62">
        <v>25</v>
      </c>
      <c r="F24" s="72" t="s">
        <v>294</v>
      </c>
      <c r="G24" s="183"/>
      <c r="H24" s="64" t="s">
        <v>302</v>
      </c>
      <c r="I24" s="118">
        <f>('13. Pro-forma Costs'!$I$42+'13. Pro-forma Costs'!$I$38+'13. Pro-forma Costs'!$I$15)*C24</f>
        <v>17.908891742424242</v>
      </c>
      <c r="J24" s="118">
        <f>('13. Pro-forma Costs'!$I$42+'13. Pro-forma Costs'!$I$38+'13. Pro-forma Costs'!$I$15)*D24</f>
        <v>23.878522323232325</v>
      </c>
      <c r="K24" s="118">
        <f>('13. Pro-forma Costs'!$I$42+'13. Pro-forma Costs'!$I$38+'13. Pro-forma Costs'!$I$15)*E24</f>
        <v>29.848152904040404</v>
      </c>
      <c r="L24" s="183"/>
      <c r="M24" s="62" t="s">
        <v>334</v>
      </c>
      <c r="N24" s="142">
        <f>('13. Pro-forma Costs'!$I$38+'13. Pro-forma Costs'!$I$6+'13. Pro-forma Costs'!$I$15+'13. Pro-forma Costs'!$I$15+'13. Pro-forma Costs'!$I$12)*C24</f>
        <v>63.824908333333326</v>
      </c>
      <c r="O24" s="142">
        <f>('13. Pro-forma Costs'!$I$38+'13. Pro-forma Costs'!$I$6+'13. Pro-forma Costs'!$I$15+'13. Pro-forma Costs'!$I$15+'13. Pro-forma Costs'!$I$12)*D24</f>
        <v>85.099877777777778</v>
      </c>
      <c r="P24" s="142">
        <f>('13. Pro-forma Costs'!$I$38+'13. Pro-forma Costs'!$I$6+'13. Pro-forma Costs'!$I$15+'13. Pro-forma Costs'!$I$15+'13. Pro-forma Costs'!$I$12)*E24</f>
        <v>106.37484722222221</v>
      </c>
      <c r="Q24" s="183"/>
      <c r="R24" s="62" t="s">
        <v>372</v>
      </c>
      <c r="S24" s="142">
        <f>C24*('13. Pro-forma Costs'!$I$24+'13. Pro-forma Costs'!$I$24+'13. Pro-forma Costs'!$I$38)</f>
        <v>15.73334340909091</v>
      </c>
      <c r="T24" s="142">
        <f>D24*('13. Pro-forma Costs'!$I$24+'13. Pro-forma Costs'!$I$24+'13. Pro-forma Costs'!$I$38)</f>
        <v>20.977791212121211</v>
      </c>
      <c r="U24" s="142">
        <f>E24*('13. Pro-forma Costs'!$I$24+'13. Pro-forma Costs'!$I$24+'13. Pro-forma Costs'!$I$38)</f>
        <v>26.222239015151516</v>
      </c>
      <c r="V24" s="183"/>
      <c r="W24" s="62" t="s">
        <v>347</v>
      </c>
      <c r="X24" s="142">
        <f>C24*('13. Pro-forma Costs'!$I$6+'13. Pro-forma Costs'!$I$17+'13. Pro-forma Costs'!$I$21+'13. Pro-forma Costs'!$I$38+'13. Pro-forma Costs'!$I$42)</f>
        <v>51.508054924242423</v>
      </c>
      <c r="Y24" s="142">
        <f>D24*('13. Pro-forma Costs'!$I$6+'13. Pro-forma Costs'!$I$17+'13. Pro-forma Costs'!$I$21+'13. Pro-forma Costs'!$I$38+'13. Pro-forma Costs'!$I$42)</f>
        <v>68.677406565656568</v>
      </c>
      <c r="Z24" s="142">
        <f>E24*('13. Pro-forma Costs'!$I$6+'13. Pro-forma Costs'!$I$17+'13. Pro-forma Costs'!$I$21+'13. Pro-forma Costs'!$I$38+'13. Pro-forma Costs'!$I$42)</f>
        <v>85.846758207070707</v>
      </c>
      <c r="AA24" s="183"/>
    </row>
    <row r="25" spans="1:27" s="73" customFormat="1" ht="13.5" thickTop="1" x14ac:dyDescent="0.2">
      <c r="A25" s="73" t="s">
        <v>305</v>
      </c>
      <c r="B25" s="65">
        <f>COUNTA(B17:B24)</f>
        <v>8</v>
      </c>
      <c r="C25" s="65"/>
      <c r="D25" s="65"/>
      <c r="E25" s="65"/>
      <c r="G25" s="184"/>
      <c r="H25" s="65"/>
      <c r="I25" s="144">
        <f>SUM(I17:I24)</f>
        <v>181.1576152020202</v>
      </c>
      <c r="J25" s="144">
        <f t="shared" ref="J25:K25" si="10">SUM(J17:J24)</f>
        <v>283.89645762626265</v>
      </c>
      <c r="K25" s="144">
        <f t="shared" si="10"/>
        <v>392.6049306313131</v>
      </c>
      <c r="L25" s="184"/>
      <c r="M25" s="65"/>
      <c r="N25" s="146">
        <f>SUM(N17:N24)</f>
        <v>504.50196482323224</v>
      </c>
      <c r="O25" s="146">
        <f t="shared" ref="O25:P25" si="11">SUM(O17:O24)</f>
        <v>777.5317682323232</v>
      </c>
      <c r="P25" s="146">
        <f t="shared" si="11"/>
        <v>1071.8365410858585</v>
      </c>
      <c r="Q25" s="184"/>
      <c r="R25" s="65"/>
      <c r="S25" s="144">
        <f>SUM(S17:S24)</f>
        <v>134.0809783080808</v>
      </c>
      <c r="T25" s="144">
        <f t="shared" ref="T25" si="12">SUM(T17:T24)</f>
        <v>208.34899414141415</v>
      </c>
      <c r="U25" s="144">
        <f t="shared" ref="U25" si="13">SUM(U17:U24)</f>
        <v>289.70357888888884</v>
      </c>
      <c r="V25" s="184"/>
      <c r="W25" s="65"/>
      <c r="X25" s="144">
        <f>SUM(X17:X24)</f>
        <v>406.36855113636352</v>
      </c>
      <c r="Y25" s="144">
        <f t="shared" ref="Y25:Z25" si="14">SUM(Y17:Y24)</f>
        <v>626.1855858585858</v>
      </c>
      <c r="Z25" s="144">
        <f t="shared" si="14"/>
        <v>863.17197222222217</v>
      </c>
      <c r="AA25" s="184"/>
    </row>
    <row r="26" spans="1:27" s="48" customFormat="1" x14ac:dyDescent="0.2">
      <c r="C26" s="49"/>
      <c r="D26" s="50"/>
      <c r="E26" s="49"/>
      <c r="G26" s="183"/>
      <c r="H26" s="49"/>
      <c r="I26" s="141"/>
      <c r="J26" s="141"/>
      <c r="K26" s="141"/>
      <c r="L26" s="183"/>
      <c r="M26" s="49"/>
      <c r="Q26" s="183"/>
      <c r="R26" s="49"/>
      <c r="V26" s="183"/>
      <c r="W26" s="49"/>
      <c r="AA26" s="183"/>
    </row>
    <row r="27" spans="1:27" s="48" customFormat="1" x14ac:dyDescent="0.2">
      <c r="A27" s="71" t="s">
        <v>167</v>
      </c>
      <c r="B27" s="71" t="s">
        <v>86</v>
      </c>
      <c r="C27" s="68">
        <v>60</v>
      </c>
      <c r="D27" s="69">
        <v>90</v>
      </c>
      <c r="E27" s="68">
        <v>120</v>
      </c>
      <c r="F27" s="71" t="s">
        <v>63</v>
      </c>
      <c r="G27" s="183"/>
      <c r="H27" s="68" t="s">
        <v>125</v>
      </c>
      <c r="I27" s="115">
        <f>'13. Pro-forma Costs'!$I$38*C27</f>
        <v>18.722466969696971</v>
      </c>
      <c r="J27" s="115">
        <f>'13. Pro-forma Costs'!$I$38*D27</f>
        <v>28.083700454545454</v>
      </c>
      <c r="K27" s="115">
        <f>'13. Pro-forma Costs'!$I$38*E27</f>
        <v>37.444933939393941</v>
      </c>
      <c r="L27" s="183"/>
      <c r="M27" s="68" t="s">
        <v>125</v>
      </c>
      <c r="N27" s="140">
        <f>C27*'13. Pro-forma Costs'!$I$38</f>
        <v>18.722466969696971</v>
      </c>
      <c r="O27" s="140">
        <f>D27*'13. Pro-forma Costs'!$I$38</f>
        <v>28.083700454545454</v>
      </c>
      <c r="P27" s="140">
        <f>E27*'13. Pro-forma Costs'!$I$38</f>
        <v>37.444933939393941</v>
      </c>
      <c r="Q27" s="183"/>
      <c r="R27" s="68" t="s">
        <v>121</v>
      </c>
      <c r="S27" s="140">
        <f>'13. Pro-forma Costs'!$I$24*'8. To-Be Activity Costing'!C28</f>
        <v>11.052726666666667</v>
      </c>
      <c r="T27" s="140">
        <f>'13. Pro-forma Costs'!$I$24*'8. To-Be Activity Costing'!D28</f>
        <v>22.105453333333333</v>
      </c>
      <c r="U27" s="140">
        <f>'13. Pro-forma Costs'!$I$24*'8. To-Be Activity Costing'!E28</f>
        <v>33.158180000000002</v>
      </c>
      <c r="V27" s="183"/>
      <c r="W27" s="68" t="s">
        <v>131</v>
      </c>
      <c r="X27" s="140">
        <f>C27*'13. Pro-forma Costs'!$I$42</f>
        <v>14.858000000000001</v>
      </c>
      <c r="Y27" s="140">
        <f>D27*'13. Pro-forma Costs'!$I$42</f>
        <v>22.287000000000003</v>
      </c>
      <c r="Z27" s="140">
        <f>E27*'13. Pro-forma Costs'!$I$42</f>
        <v>29.716000000000001</v>
      </c>
      <c r="AA27" s="183"/>
    </row>
    <row r="28" spans="1:27" s="48" customFormat="1" x14ac:dyDescent="0.2">
      <c r="A28" s="48" t="s">
        <v>167</v>
      </c>
      <c r="B28" s="48" t="s">
        <v>158</v>
      </c>
      <c r="C28" s="49">
        <v>30</v>
      </c>
      <c r="D28" s="50">
        <v>60</v>
      </c>
      <c r="E28" s="49">
        <v>90</v>
      </c>
      <c r="F28" s="48" t="s">
        <v>63</v>
      </c>
      <c r="G28" s="183"/>
      <c r="H28" s="49" t="s">
        <v>125</v>
      </c>
      <c r="I28" s="112">
        <f>'13. Pro-forma Costs'!$I$38*C28</f>
        <v>9.3612334848484853</v>
      </c>
      <c r="J28" s="112">
        <f>'13. Pro-forma Costs'!$I$38*D28</f>
        <v>18.722466969696971</v>
      </c>
      <c r="K28" s="112">
        <f>'13. Pro-forma Costs'!$I$38*E28</f>
        <v>28.083700454545454</v>
      </c>
      <c r="L28" s="183"/>
      <c r="M28" s="49" t="s">
        <v>125</v>
      </c>
      <c r="N28" s="141">
        <f>C28*'13. Pro-forma Costs'!$I$38</f>
        <v>9.3612334848484853</v>
      </c>
      <c r="O28" s="141">
        <f>D28*'13. Pro-forma Costs'!$I$38</f>
        <v>18.722466969696971</v>
      </c>
      <c r="P28" s="141">
        <f>E28*'13. Pro-forma Costs'!$I$38</f>
        <v>28.083700454545454</v>
      </c>
      <c r="Q28" s="183"/>
      <c r="R28" s="49" t="s">
        <v>121</v>
      </c>
      <c r="S28" s="141">
        <f>'13. Pro-forma Costs'!$I$24*'8. To-Be Activity Costing'!C29</f>
        <v>5.5263633333333333</v>
      </c>
      <c r="T28" s="141">
        <f>'13. Pro-forma Costs'!$I$24*'8. To-Be Activity Costing'!D29</f>
        <v>7.3684844444444444</v>
      </c>
      <c r="U28" s="141">
        <f>'13. Pro-forma Costs'!$I$24*'8. To-Be Activity Costing'!E29</f>
        <v>11.052726666666667</v>
      </c>
      <c r="V28" s="183"/>
      <c r="W28" s="49" t="s">
        <v>131</v>
      </c>
      <c r="X28" s="141">
        <f>C28*'13. Pro-forma Costs'!$I$42</f>
        <v>7.4290000000000003</v>
      </c>
      <c r="Y28" s="141">
        <f>D28*'13. Pro-forma Costs'!$I$42</f>
        <v>14.858000000000001</v>
      </c>
      <c r="Z28" s="141">
        <f>E28*'13. Pro-forma Costs'!$I$42</f>
        <v>22.287000000000003</v>
      </c>
      <c r="AA28" s="183"/>
    </row>
    <row r="29" spans="1:27" s="48" customFormat="1" x14ac:dyDescent="0.2">
      <c r="A29" s="48" t="s">
        <v>167</v>
      </c>
      <c r="B29" s="48" t="s">
        <v>90</v>
      </c>
      <c r="C29" s="49">
        <v>15</v>
      </c>
      <c r="D29" s="50">
        <v>20</v>
      </c>
      <c r="E29" s="49">
        <v>30</v>
      </c>
      <c r="F29" s="48" t="s">
        <v>63</v>
      </c>
      <c r="G29" s="183"/>
      <c r="H29" s="49" t="s">
        <v>125</v>
      </c>
      <c r="I29" s="112">
        <f>'13. Pro-forma Costs'!$I$38*C29</f>
        <v>4.6806167424242426</v>
      </c>
      <c r="J29" s="112">
        <f>'13. Pro-forma Costs'!$I$38*D29</f>
        <v>6.2408223232323232</v>
      </c>
      <c r="K29" s="112">
        <f>'13. Pro-forma Costs'!$I$38*E29</f>
        <v>9.3612334848484853</v>
      </c>
      <c r="L29" s="183"/>
      <c r="M29" s="49" t="s">
        <v>125</v>
      </c>
      <c r="N29" s="141">
        <f>C29*'13. Pro-forma Costs'!$I$38</f>
        <v>4.6806167424242426</v>
      </c>
      <c r="O29" s="141">
        <f>D29*'13. Pro-forma Costs'!$I$38</f>
        <v>6.2408223232323232</v>
      </c>
      <c r="P29" s="141">
        <f>E29*'13. Pro-forma Costs'!$I$38</f>
        <v>9.3612334848484853</v>
      </c>
      <c r="Q29" s="183"/>
      <c r="R29" s="49" t="s">
        <v>121</v>
      </c>
      <c r="S29" s="141">
        <f>'13. Pro-forma Costs'!$I$24*'8. To-Be Activity Costing'!C30</f>
        <v>22.105453333333333</v>
      </c>
      <c r="T29" s="141">
        <f>'13. Pro-forma Costs'!$I$24*'8. To-Be Activity Costing'!D30</f>
        <v>33.158180000000002</v>
      </c>
      <c r="U29" s="141">
        <f>'13. Pro-forma Costs'!$I$24*'8. To-Be Activity Costing'!E30</f>
        <v>44.210906666666666</v>
      </c>
      <c r="V29" s="183"/>
      <c r="W29" s="49" t="s">
        <v>131</v>
      </c>
      <c r="X29" s="141">
        <f>C29*'13. Pro-forma Costs'!$I$42</f>
        <v>3.7145000000000001</v>
      </c>
      <c r="Y29" s="141">
        <f>D29*'13. Pro-forma Costs'!$I$42</f>
        <v>4.9526666666666666</v>
      </c>
      <c r="Z29" s="141">
        <f>E29*'13. Pro-forma Costs'!$I$42</f>
        <v>7.4290000000000003</v>
      </c>
      <c r="AA29" s="183"/>
    </row>
    <row r="30" spans="1:27" s="48" customFormat="1" x14ac:dyDescent="0.2">
      <c r="A30" s="48" t="s">
        <v>167</v>
      </c>
      <c r="B30" s="48" t="s">
        <v>68</v>
      </c>
      <c r="C30" s="49">
        <v>60</v>
      </c>
      <c r="D30" s="50">
        <v>90</v>
      </c>
      <c r="E30" s="49">
        <v>120</v>
      </c>
      <c r="F30" s="48" t="s">
        <v>294</v>
      </c>
      <c r="G30" s="183"/>
      <c r="H30" s="58" t="s">
        <v>302</v>
      </c>
      <c r="I30" s="112">
        <f>('13. Pro-forma Costs'!$I$42+'13. Pro-forma Costs'!$I$38+'13. Pro-forma Costs'!$I$15)*C30</f>
        <v>71.635566969696967</v>
      </c>
      <c r="J30" s="112">
        <f>('13. Pro-forma Costs'!$I$42+'13. Pro-forma Costs'!$I$38+'13. Pro-forma Costs'!$I$15)*D30</f>
        <v>107.45335045454546</v>
      </c>
      <c r="K30" s="112">
        <f>('13. Pro-forma Costs'!$I$42+'13. Pro-forma Costs'!$I$38+'13. Pro-forma Costs'!$I$15)*E30</f>
        <v>143.27113393939393</v>
      </c>
      <c r="L30" s="183"/>
      <c r="M30" s="49" t="s">
        <v>334</v>
      </c>
      <c r="N30" s="141">
        <f>('13. Pro-forma Costs'!$I$38+'13. Pro-forma Costs'!$I$6+'13. Pro-forma Costs'!$I$15+'13. Pro-forma Costs'!$I$15+'13. Pro-forma Costs'!$I$12)*C30</f>
        <v>255.2996333333333</v>
      </c>
      <c r="O30" s="141">
        <f>('13. Pro-forma Costs'!$I$38+'13. Pro-forma Costs'!$I$6+'13. Pro-forma Costs'!$I$15+'13. Pro-forma Costs'!$I$15+'13. Pro-forma Costs'!$I$12)*D30</f>
        <v>382.94944999999996</v>
      </c>
      <c r="P30" s="141">
        <f>('13. Pro-forma Costs'!$I$38+'13. Pro-forma Costs'!$I$6+'13. Pro-forma Costs'!$I$15+'13. Pro-forma Costs'!$I$15+'13. Pro-forma Costs'!$I$12)*E30</f>
        <v>510.59926666666661</v>
      </c>
      <c r="Q30" s="183"/>
      <c r="R30" s="49" t="s">
        <v>372</v>
      </c>
      <c r="S30" s="141">
        <f>C30*('13. Pro-forma Costs'!$I$24+'13. Pro-forma Costs'!$I$24+'13. Pro-forma Costs'!$I$38)</f>
        <v>62.93337363636364</v>
      </c>
      <c r="T30" s="141">
        <f>D30*('13. Pro-forma Costs'!$I$24+'13. Pro-forma Costs'!$I$24+'13. Pro-forma Costs'!$I$38)</f>
        <v>94.400060454545454</v>
      </c>
      <c r="U30" s="141">
        <f>E30*('13. Pro-forma Costs'!$I$24+'13. Pro-forma Costs'!$I$24+'13. Pro-forma Costs'!$I$38)</f>
        <v>125.86674727272728</v>
      </c>
      <c r="V30" s="183"/>
      <c r="W30" s="49" t="s">
        <v>347</v>
      </c>
      <c r="X30" s="141">
        <f>C30*('13. Pro-forma Costs'!$I$6+'13. Pro-forma Costs'!$I$17+'13. Pro-forma Costs'!$I$21+'13. Pro-forma Costs'!$I$38+'13. Pro-forma Costs'!$I$42)</f>
        <v>206.03221969696969</v>
      </c>
      <c r="Y30" s="141">
        <f>D30*('13. Pro-forma Costs'!$I$6+'13. Pro-forma Costs'!$I$17+'13. Pro-forma Costs'!$I$21+'13. Pro-forma Costs'!$I$38+'13. Pro-forma Costs'!$I$42)</f>
        <v>309.04832954545452</v>
      </c>
      <c r="Z30" s="141">
        <f>E30*('13. Pro-forma Costs'!$I$6+'13. Pro-forma Costs'!$I$17+'13. Pro-forma Costs'!$I$21+'13. Pro-forma Costs'!$I$38+'13. Pro-forma Costs'!$I$42)</f>
        <v>412.06443939393938</v>
      </c>
      <c r="AA30" s="183"/>
    </row>
    <row r="31" spans="1:27" s="48" customFormat="1" x14ac:dyDescent="0.2">
      <c r="A31" s="48" t="s">
        <v>167</v>
      </c>
      <c r="B31" s="48" t="s">
        <v>66</v>
      </c>
      <c r="C31" s="49">
        <v>15</v>
      </c>
      <c r="D31" s="50">
        <v>30</v>
      </c>
      <c r="E31" s="49">
        <v>60</v>
      </c>
      <c r="F31" s="48" t="s">
        <v>63</v>
      </c>
      <c r="G31" s="183"/>
      <c r="H31" s="49" t="s">
        <v>131</v>
      </c>
      <c r="I31" s="112">
        <f>'13. Pro-forma Costs'!$I$42*C31</f>
        <v>3.7145000000000001</v>
      </c>
      <c r="J31" s="112">
        <f>'13. Pro-forma Costs'!$I$42*D31</f>
        <v>7.4290000000000003</v>
      </c>
      <c r="K31" s="112">
        <f>'13. Pro-forma Costs'!$I$42*E31</f>
        <v>14.858000000000001</v>
      </c>
      <c r="L31" s="183"/>
      <c r="M31" s="49" t="s">
        <v>125</v>
      </c>
      <c r="N31" s="141">
        <f>C31*'13. Pro-forma Costs'!$I$38</f>
        <v>4.6806167424242426</v>
      </c>
      <c r="O31" s="141">
        <f>D31*'13. Pro-forma Costs'!$I$38</f>
        <v>9.3612334848484853</v>
      </c>
      <c r="P31" s="141">
        <f>E31*'13. Pro-forma Costs'!$I$38</f>
        <v>18.722466969696971</v>
      </c>
      <c r="Q31" s="183"/>
      <c r="R31" s="49" t="s">
        <v>121</v>
      </c>
      <c r="S31" s="141">
        <f>'13. Pro-forma Costs'!$I$24*'8. To-Be Activity Costing'!C32</f>
        <v>3.6842422222222222</v>
      </c>
      <c r="T31" s="141">
        <f>'13. Pro-forma Costs'!$I$24*'8. To-Be Activity Costing'!D32</f>
        <v>5.5263633333333333</v>
      </c>
      <c r="U31" s="141">
        <f>'13. Pro-forma Costs'!$I$24*'8. To-Be Activity Costing'!E32</f>
        <v>7.3684844444444444</v>
      </c>
      <c r="V31" s="183"/>
      <c r="W31" s="49" t="s">
        <v>131</v>
      </c>
      <c r="X31" s="141">
        <f>C31*'13. Pro-forma Costs'!$I$42</f>
        <v>3.7145000000000001</v>
      </c>
      <c r="Y31" s="141">
        <f>D31*'13. Pro-forma Costs'!$I$42</f>
        <v>7.4290000000000003</v>
      </c>
      <c r="Z31" s="141">
        <f>E31*'13. Pro-forma Costs'!$I$42</f>
        <v>14.858000000000001</v>
      </c>
      <c r="AA31" s="183"/>
    </row>
    <row r="32" spans="1:27" s="48" customFormat="1" ht="13.5" thickBot="1" x14ac:dyDescent="0.25">
      <c r="A32" s="72" t="s">
        <v>167</v>
      </c>
      <c r="B32" s="72" t="s">
        <v>67</v>
      </c>
      <c r="C32" s="62">
        <v>10</v>
      </c>
      <c r="D32" s="63">
        <v>15</v>
      </c>
      <c r="E32" s="62">
        <v>20</v>
      </c>
      <c r="F32" s="72" t="s">
        <v>294</v>
      </c>
      <c r="G32" s="183"/>
      <c r="H32" s="64" t="s">
        <v>302</v>
      </c>
      <c r="I32" s="118">
        <f>('13. Pro-forma Costs'!$I$42+'13. Pro-forma Costs'!$I$38+'13. Pro-forma Costs'!$I$15)*C32</f>
        <v>11.939261161616162</v>
      </c>
      <c r="J32" s="118">
        <f>('13. Pro-forma Costs'!$I$42+'13. Pro-forma Costs'!$I$38+'13. Pro-forma Costs'!$I$15)*D32</f>
        <v>17.908891742424242</v>
      </c>
      <c r="K32" s="118">
        <f>('13. Pro-forma Costs'!$I$42+'13. Pro-forma Costs'!$I$38+'13. Pro-forma Costs'!$I$15)*E32</f>
        <v>23.878522323232325</v>
      </c>
      <c r="L32" s="183"/>
      <c r="M32" s="62" t="s">
        <v>334</v>
      </c>
      <c r="N32" s="142">
        <f>('13. Pro-forma Costs'!$I$38+'13. Pro-forma Costs'!$I$6+'13. Pro-forma Costs'!$I$15+'13. Pro-forma Costs'!$I$15+'13. Pro-forma Costs'!$I$12)*C32</f>
        <v>42.549938888888889</v>
      </c>
      <c r="O32" s="142">
        <f>('13. Pro-forma Costs'!$I$38+'13. Pro-forma Costs'!$I$6+'13. Pro-forma Costs'!$I$15+'13. Pro-forma Costs'!$I$15+'13. Pro-forma Costs'!$I$12)*D32</f>
        <v>63.824908333333326</v>
      </c>
      <c r="P32" s="142">
        <f>('13. Pro-forma Costs'!$I$38+'13. Pro-forma Costs'!$I$6+'13. Pro-forma Costs'!$I$15+'13. Pro-forma Costs'!$I$15+'13. Pro-forma Costs'!$I$12)*E32</f>
        <v>85.099877777777778</v>
      </c>
      <c r="Q32" s="183"/>
      <c r="R32" s="62" t="s">
        <v>372</v>
      </c>
      <c r="S32" s="142">
        <f>C32*('13. Pro-forma Costs'!$I$24+'13. Pro-forma Costs'!$I$24+'13. Pro-forma Costs'!$I$38)</f>
        <v>10.488895606060606</v>
      </c>
      <c r="T32" s="142">
        <f>D32*('13. Pro-forma Costs'!$I$24+'13. Pro-forma Costs'!$I$24+'13. Pro-forma Costs'!$I$38)</f>
        <v>15.73334340909091</v>
      </c>
      <c r="U32" s="142">
        <f>E32*('13. Pro-forma Costs'!$I$24+'13. Pro-forma Costs'!$I$24+'13. Pro-forma Costs'!$I$38)</f>
        <v>20.977791212121211</v>
      </c>
      <c r="V32" s="183"/>
      <c r="W32" s="62" t="s">
        <v>347</v>
      </c>
      <c r="X32" s="142">
        <f>C32*('13. Pro-forma Costs'!$I$6+'13. Pro-forma Costs'!$I$17+'13. Pro-forma Costs'!$I$21+'13. Pro-forma Costs'!$I$38+'13. Pro-forma Costs'!$I$42)</f>
        <v>34.338703282828284</v>
      </c>
      <c r="Y32" s="142">
        <f>D32*('13. Pro-forma Costs'!$I$6+'13. Pro-forma Costs'!$I$17+'13. Pro-forma Costs'!$I$21+'13. Pro-forma Costs'!$I$38+'13. Pro-forma Costs'!$I$42)</f>
        <v>51.508054924242423</v>
      </c>
      <c r="Z32" s="142">
        <f>E32*('13. Pro-forma Costs'!$I$6+'13. Pro-forma Costs'!$I$17+'13. Pro-forma Costs'!$I$21+'13. Pro-forma Costs'!$I$38+'13. Pro-forma Costs'!$I$42)</f>
        <v>68.677406565656568</v>
      </c>
      <c r="AA32" s="183"/>
    </row>
    <row r="33" spans="1:27" s="73" customFormat="1" ht="13.5" thickTop="1" x14ac:dyDescent="0.2">
      <c r="A33" s="73" t="s">
        <v>305</v>
      </c>
      <c r="B33" s="65">
        <f>COUNTA(B27:B32)</f>
        <v>6</v>
      </c>
      <c r="C33" s="65"/>
      <c r="D33" s="65"/>
      <c r="E33" s="65"/>
      <c r="G33" s="184"/>
      <c r="H33" s="65"/>
      <c r="I33" s="144">
        <f>SUM(I27:I32)</f>
        <v>120.05364532828283</v>
      </c>
      <c r="J33" s="144">
        <f t="shared" ref="J33:K33" si="15">SUM(J27:J32)</f>
        <v>185.83823194444443</v>
      </c>
      <c r="K33" s="144">
        <f t="shared" si="15"/>
        <v>256.89752414141418</v>
      </c>
      <c r="L33" s="184"/>
      <c r="M33" s="65"/>
      <c r="N33" s="146">
        <f>SUM(N27:N32)</f>
        <v>335.2945061616162</v>
      </c>
      <c r="O33" s="146">
        <f t="shared" ref="O33:P33" si="16">SUM(O27:O32)</f>
        <v>509.18258156565651</v>
      </c>
      <c r="P33" s="146">
        <f t="shared" si="16"/>
        <v>689.31147929292922</v>
      </c>
      <c r="Q33" s="184"/>
      <c r="R33" s="65"/>
      <c r="S33" s="144">
        <f>SUM(S27:S32)</f>
        <v>115.79105479797981</v>
      </c>
      <c r="T33" s="144">
        <f t="shared" ref="T33" si="17">SUM(T27:T32)</f>
        <v>178.29188497474749</v>
      </c>
      <c r="U33" s="144">
        <f t="shared" ref="U33" si="18">SUM(U27:U32)</f>
        <v>242.63483626262629</v>
      </c>
      <c r="V33" s="184"/>
      <c r="W33" s="65"/>
      <c r="X33" s="144">
        <f>SUM(X27:X32)</f>
        <v>270.08692297979798</v>
      </c>
      <c r="Y33" s="144">
        <f t="shared" ref="Y33:Z33" si="19">SUM(Y27:Y32)</f>
        <v>410.08305113636357</v>
      </c>
      <c r="Z33" s="144">
        <f t="shared" si="19"/>
        <v>555.03184595959601</v>
      </c>
      <c r="AA33" s="184"/>
    </row>
    <row r="34" spans="1:27" s="48" customFormat="1" x14ac:dyDescent="0.2">
      <c r="C34" s="49"/>
      <c r="D34" s="50"/>
      <c r="E34" s="49"/>
      <c r="G34" s="183"/>
      <c r="H34" s="49"/>
      <c r="I34" s="141"/>
      <c r="J34" s="141"/>
      <c r="K34" s="141"/>
      <c r="L34" s="183"/>
      <c r="M34" s="49"/>
      <c r="Q34" s="183"/>
      <c r="R34" s="49"/>
      <c r="V34" s="183"/>
      <c r="W34" s="49"/>
      <c r="AA34" s="183"/>
    </row>
    <row r="35" spans="1:27" x14ac:dyDescent="0.2">
      <c r="A35" s="71" t="s">
        <v>292</v>
      </c>
      <c r="B35" s="71" t="s">
        <v>290</v>
      </c>
      <c r="C35" s="68">
        <v>30</v>
      </c>
      <c r="D35" s="69">
        <v>45</v>
      </c>
      <c r="E35" s="68">
        <v>60</v>
      </c>
      <c r="F35" s="71" t="s">
        <v>295</v>
      </c>
      <c r="G35" s="183"/>
      <c r="H35" s="68" t="s">
        <v>125</v>
      </c>
      <c r="I35" s="115">
        <f>'13. Pro-forma Costs'!$I$38*C35</f>
        <v>9.3612334848484853</v>
      </c>
      <c r="J35" s="115">
        <f>'13. Pro-forma Costs'!$I$38*D35</f>
        <v>14.041850227272727</v>
      </c>
      <c r="K35" s="115">
        <f>'13. Pro-forma Costs'!$I$38*E35</f>
        <v>18.722466969696971</v>
      </c>
      <c r="M35" s="68" t="s">
        <v>200</v>
      </c>
      <c r="N35" s="68" t="s">
        <v>200</v>
      </c>
      <c r="O35" s="68" t="s">
        <v>200</v>
      </c>
      <c r="P35" s="68" t="s">
        <v>200</v>
      </c>
      <c r="R35" s="68" t="s">
        <v>121</v>
      </c>
      <c r="S35" s="140">
        <f>'13. Pro-forma Costs'!$I$24*'8. To-Be Activity Costing'!C36</f>
        <v>11.052726666666667</v>
      </c>
      <c r="T35" s="140">
        <f>'13. Pro-forma Costs'!$I$24*'8. To-Be Activity Costing'!D36</f>
        <v>16.579090000000001</v>
      </c>
      <c r="U35" s="140">
        <f>'13. Pro-forma Costs'!$I$24*'8. To-Be Activity Costing'!E36</f>
        <v>22.105453333333333</v>
      </c>
      <c r="W35" s="68" t="s">
        <v>125</v>
      </c>
      <c r="X35" s="140">
        <f>C35*'13. Pro-forma Costs'!$I$38</f>
        <v>9.3612334848484853</v>
      </c>
      <c r="Y35" s="140">
        <f>D35*'13. Pro-forma Costs'!$I$38</f>
        <v>14.041850227272727</v>
      </c>
      <c r="Z35" s="140">
        <f>E35*'13. Pro-forma Costs'!$I$38</f>
        <v>18.722466969696971</v>
      </c>
    </row>
    <row r="36" spans="1:27" x14ac:dyDescent="0.2">
      <c r="A36" s="48" t="s">
        <v>292</v>
      </c>
      <c r="B36" s="48" t="s">
        <v>291</v>
      </c>
      <c r="C36" s="49">
        <v>30</v>
      </c>
      <c r="D36" s="50">
        <v>45</v>
      </c>
      <c r="E36" s="49">
        <v>60</v>
      </c>
      <c r="F36" s="48" t="s">
        <v>295</v>
      </c>
      <c r="G36" s="183"/>
      <c r="H36" s="49" t="s">
        <v>125</v>
      </c>
      <c r="I36" s="112">
        <f>'13. Pro-forma Costs'!$I$38*C36</f>
        <v>9.3612334848484853</v>
      </c>
      <c r="J36" s="112">
        <f>'13. Pro-forma Costs'!$I$38*D36</f>
        <v>14.041850227272727</v>
      </c>
      <c r="K36" s="112">
        <f>'13. Pro-forma Costs'!$I$38*E36</f>
        <v>18.722466969696971</v>
      </c>
      <c r="M36" s="49" t="s">
        <v>200</v>
      </c>
      <c r="N36" s="49" t="s">
        <v>200</v>
      </c>
      <c r="O36" s="49" t="s">
        <v>200</v>
      </c>
      <c r="P36" s="49" t="s">
        <v>200</v>
      </c>
      <c r="R36" s="49" t="s">
        <v>121</v>
      </c>
      <c r="S36" s="141">
        <f>'13. Pro-forma Costs'!$I$24*'8. To-Be Activity Costing'!C37</f>
        <v>5.5263633333333333</v>
      </c>
      <c r="T36" s="141">
        <f>'13. Pro-forma Costs'!$I$24*'8. To-Be Activity Costing'!D37</f>
        <v>11.052726666666667</v>
      </c>
      <c r="U36" s="141">
        <f>'13. Pro-forma Costs'!$I$24*'8. To-Be Activity Costing'!E37</f>
        <v>16.579090000000001</v>
      </c>
      <c r="W36" s="49" t="s">
        <v>125</v>
      </c>
      <c r="X36" s="141">
        <f>C36*'13. Pro-forma Costs'!$I$38</f>
        <v>9.3612334848484853</v>
      </c>
      <c r="Y36" s="141">
        <f>D36*'13. Pro-forma Costs'!$I$38</f>
        <v>14.041850227272727</v>
      </c>
      <c r="Z36" s="141">
        <f>E36*'13. Pro-forma Costs'!$I$38</f>
        <v>18.722466969696971</v>
      </c>
    </row>
    <row r="37" spans="1:27" x14ac:dyDescent="0.2">
      <c r="A37" s="48" t="s">
        <v>292</v>
      </c>
      <c r="B37" s="48" t="s">
        <v>311</v>
      </c>
      <c r="C37" s="49">
        <v>15</v>
      </c>
      <c r="D37" s="50">
        <v>30</v>
      </c>
      <c r="E37" s="49">
        <v>45</v>
      </c>
      <c r="F37" s="48" t="s">
        <v>295</v>
      </c>
      <c r="G37" s="183"/>
      <c r="H37" s="49" t="s">
        <v>125</v>
      </c>
      <c r="I37" s="112">
        <f>'13. Pro-forma Costs'!$I$38*C37</f>
        <v>4.6806167424242426</v>
      </c>
      <c r="J37" s="112">
        <f>'13. Pro-forma Costs'!$I$38*D37</f>
        <v>9.3612334848484853</v>
      </c>
      <c r="K37" s="112">
        <f>'13. Pro-forma Costs'!$I$38*E37</f>
        <v>14.041850227272727</v>
      </c>
      <c r="M37" s="49" t="s">
        <v>200</v>
      </c>
      <c r="N37" s="49" t="s">
        <v>200</v>
      </c>
      <c r="O37" s="49" t="s">
        <v>200</v>
      </c>
      <c r="P37" s="49" t="s">
        <v>200</v>
      </c>
      <c r="R37" s="49" t="s">
        <v>121</v>
      </c>
      <c r="S37" s="141">
        <f>'13. Pro-forma Costs'!$I$24*'8. To-Be Activity Costing'!C38</f>
        <v>5.5263633333333333</v>
      </c>
      <c r="T37" s="141">
        <f>'13. Pro-forma Costs'!$I$24*'8. To-Be Activity Costing'!D38</f>
        <v>11.052726666666667</v>
      </c>
      <c r="U37" s="141">
        <f>'13. Pro-forma Costs'!$I$24*'8. To-Be Activity Costing'!E38</f>
        <v>16.579090000000001</v>
      </c>
      <c r="W37" s="49" t="s">
        <v>125</v>
      </c>
      <c r="X37" s="141">
        <f>C37*'13. Pro-forma Costs'!$I$38</f>
        <v>4.6806167424242426</v>
      </c>
      <c r="Y37" s="141">
        <f>D37*'13. Pro-forma Costs'!$I$38</f>
        <v>9.3612334848484853</v>
      </c>
      <c r="Z37" s="141">
        <f>E37*'13. Pro-forma Costs'!$I$38</f>
        <v>14.041850227272727</v>
      </c>
    </row>
    <row r="38" spans="1:27" x14ac:dyDescent="0.2">
      <c r="A38" s="48" t="s">
        <v>292</v>
      </c>
      <c r="B38" s="48" t="s">
        <v>293</v>
      </c>
      <c r="C38" s="49">
        <v>15</v>
      </c>
      <c r="D38" s="50">
        <v>30</v>
      </c>
      <c r="E38" s="49">
        <v>45</v>
      </c>
      <c r="F38" s="48" t="s">
        <v>295</v>
      </c>
      <c r="G38" s="183"/>
      <c r="H38" s="49" t="s">
        <v>125</v>
      </c>
      <c r="I38" s="112">
        <f>'13. Pro-forma Costs'!$I$38*C38</f>
        <v>4.6806167424242426</v>
      </c>
      <c r="J38" s="112">
        <f>'13. Pro-forma Costs'!$I$38*D38</f>
        <v>9.3612334848484853</v>
      </c>
      <c r="K38" s="112">
        <f>'13. Pro-forma Costs'!$I$38*E38</f>
        <v>14.041850227272727</v>
      </c>
      <c r="M38" s="49" t="s">
        <v>200</v>
      </c>
      <c r="N38" s="49" t="s">
        <v>200</v>
      </c>
      <c r="O38" s="49" t="s">
        <v>200</v>
      </c>
      <c r="P38" s="49" t="s">
        <v>200</v>
      </c>
      <c r="R38" s="49" t="s">
        <v>121</v>
      </c>
      <c r="S38" s="141">
        <f>'13. Pro-forma Costs'!$I$24*'8. To-Be Activity Costing'!C39</f>
        <v>5.5263633333333333</v>
      </c>
      <c r="T38" s="141">
        <f>'13. Pro-forma Costs'!$I$24*'8. To-Be Activity Costing'!D39</f>
        <v>11.052726666666667</v>
      </c>
      <c r="U38" s="141">
        <f>'13. Pro-forma Costs'!$I$24*'8. To-Be Activity Costing'!E39</f>
        <v>36.842422222222218</v>
      </c>
      <c r="W38" s="49" t="s">
        <v>125</v>
      </c>
      <c r="X38" s="141">
        <f>C38*'13. Pro-forma Costs'!$I$38</f>
        <v>4.6806167424242426</v>
      </c>
      <c r="Y38" s="141">
        <f>D38*'13. Pro-forma Costs'!$I$38</f>
        <v>9.3612334848484853</v>
      </c>
      <c r="Z38" s="141">
        <f>E38*'13. Pro-forma Costs'!$I$38</f>
        <v>14.041850227272727</v>
      </c>
    </row>
    <row r="39" spans="1:27" s="48" customFormat="1" ht="13.5" thickBot="1" x14ac:dyDescent="0.25">
      <c r="A39" s="72" t="s">
        <v>292</v>
      </c>
      <c r="B39" s="72" t="s">
        <v>313</v>
      </c>
      <c r="C39" s="62">
        <v>15</v>
      </c>
      <c r="D39" s="63">
        <v>30</v>
      </c>
      <c r="E39" s="62">
        <v>100</v>
      </c>
      <c r="F39" s="72" t="s">
        <v>312</v>
      </c>
      <c r="G39" s="183"/>
      <c r="H39" s="64" t="s">
        <v>301</v>
      </c>
      <c r="I39" s="143">
        <f>('13. Pro-forma Costs'!$I$6+'13. Pro-forma Costs'!$I$4+'13. Pro-forma Costs'!$I$42+'13. Pro-forma Costs'!$I$40+'13. Pro-forma Costs'!$I$15)*C39</f>
        <v>81.99719083333332</v>
      </c>
      <c r="J39" s="143">
        <f>('13. Pro-forma Costs'!$I$6+'13. Pro-forma Costs'!$I$4+'13. Pro-forma Costs'!$I$42+'13. Pro-forma Costs'!$I$40+'13. Pro-forma Costs'!$I$15)*D39</f>
        <v>163.99438166666664</v>
      </c>
      <c r="K39" s="143">
        <f>('13. Pro-forma Costs'!$I$6+'13. Pro-forma Costs'!$I$4+'13. Pro-forma Costs'!$I$42+'13. Pro-forma Costs'!$I$40+'13. Pro-forma Costs'!$I$15)*E39</f>
        <v>546.6479388888888</v>
      </c>
      <c r="L39" s="183"/>
      <c r="M39" s="62" t="s">
        <v>200</v>
      </c>
      <c r="N39" s="62" t="s">
        <v>200</v>
      </c>
      <c r="O39" s="62" t="s">
        <v>200</v>
      </c>
      <c r="P39" s="62" t="s">
        <v>200</v>
      </c>
      <c r="Q39" s="183"/>
      <c r="R39" s="62" t="s">
        <v>373</v>
      </c>
      <c r="S39" s="142">
        <f>C39*('13. Pro-forma Costs'!$I$11+'13. Pro-forma Costs'!$I$24+'13. Pro-forma Costs'!$I$24+'13. Pro-forma Costs'!$I$38+'13. Pro-forma Costs'!$I$38)</f>
        <v>30.472140151515148</v>
      </c>
      <c r="T39" s="142">
        <f>D39*('13. Pro-forma Costs'!$I$11+'13. Pro-forma Costs'!$I$24+'13. Pro-forma Costs'!$I$24+'13. Pro-forma Costs'!$I$38+'13. Pro-forma Costs'!$I$38)</f>
        <v>60.944280303030297</v>
      </c>
      <c r="U39" s="142">
        <f>E39*('13. Pro-forma Costs'!$I$11+'13. Pro-forma Costs'!$I$24+'13. Pro-forma Costs'!$I$24+'13. Pro-forma Costs'!$I$38+'13. Pro-forma Costs'!$I$38)</f>
        <v>203.147601010101</v>
      </c>
      <c r="V39" s="183"/>
      <c r="W39" s="62" t="s">
        <v>348</v>
      </c>
      <c r="X39" s="142">
        <f>C39*('13. Pro-forma Costs'!$I$6+'13. Pro-forma Costs'!$I$17+'13. Pro-forma Costs'!$I$21+'13. Pro-forma Costs'!$I$38+'13. Pro-forma Costs'!$I$38+'13. Pro-forma Costs'!$I$42)</f>
        <v>56.188671666666664</v>
      </c>
      <c r="Y39" s="142">
        <f>D39*('13. Pro-forma Costs'!$I$6+'13. Pro-forma Costs'!$I$17+'13. Pro-forma Costs'!$I$21+'13. Pro-forma Costs'!$I$38+'13. Pro-forma Costs'!$I$38+'13. Pro-forma Costs'!$I$42)</f>
        <v>112.37734333333333</v>
      </c>
      <c r="Z39" s="142">
        <f>E39*('13. Pro-forma Costs'!$I$6+'13. Pro-forma Costs'!$I$17+'13. Pro-forma Costs'!$I$21+'13. Pro-forma Costs'!$I$38+'13. Pro-forma Costs'!$I$38+'13. Pro-forma Costs'!$I$42)</f>
        <v>374.59114444444441</v>
      </c>
      <c r="AA39" s="183"/>
    </row>
    <row r="40" spans="1:27" s="73" customFormat="1" ht="13.5" thickTop="1" x14ac:dyDescent="0.2">
      <c r="A40" s="73" t="s">
        <v>305</v>
      </c>
      <c r="B40" s="65">
        <f>COUNTA(B35:B39)</f>
        <v>5</v>
      </c>
      <c r="C40" s="65"/>
      <c r="D40" s="66"/>
      <c r="E40" s="65"/>
      <c r="G40" s="184"/>
      <c r="H40" s="65"/>
      <c r="I40" s="144">
        <f>SUM(I35:I39)</f>
        <v>110.08089128787877</v>
      </c>
      <c r="J40" s="144">
        <f t="shared" ref="J40:K40" si="20">SUM(J35:J39)</f>
        <v>210.80054909090907</v>
      </c>
      <c r="K40" s="144">
        <f t="shared" si="20"/>
        <v>612.17657328282826</v>
      </c>
      <c r="L40" s="184"/>
      <c r="M40" s="65" t="s">
        <v>200</v>
      </c>
      <c r="N40" s="65" t="s">
        <v>200</v>
      </c>
      <c r="O40" s="65" t="s">
        <v>200</v>
      </c>
      <c r="P40" s="65" t="s">
        <v>200</v>
      </c>
      <c r="Q40" s="184"/>
      <c r="R40" s="65"/>
      <c r="S40" s="144">
        <f>SUM(S35:S39)</f>
        <v>58.103956818181814</v>
      </c>
      <c r="T40" s="144">
        <f>SUM(T35:T39)</f>
        <v>110.68155030303029</v>
      </c>
      <c r="U40" s="144">
        <f>SUM(U35:U39)</f>
        <v>295.25365656565657</v>
      </c>
      <c r="V40" s="184"/>
      <c r="W40" s="65"/>
      <c r="X40" s="144">
        <f>SUM(X35:X39)</f>
        <v>84.272372121212115</v>
      </c>
      <c r="Y40" s="144">
        <f t="shared" ref="Y40:Z40" si="21">SUM(Y35:Y39)</f>
        <v>159.18351075757576</v>
      </c>
      <c r="Z40" s="144">
        <f t="shared" si="21"/>
        <v>440.11977883838381</v>
      </c>
      <c r="AA40" s="184"/>
    </row>
    <row r="41" spans="1:27" s="48" customFormat="1" x14ac:dyDescent="0.2">
      <c r="C41" s="49"/>
      <c r="D41" s="50"/>
      <c r="E41" s="49"/>
      <c r="G41" s="183"/>
      <c r="H41" s="49"/>
      <c r="I41" s="141"/>
      <c r="J41" s="141"/>
      <c r="K41" s="141"/>
      <c r="L41" s="183"/>
      <c r="M41" s="49"/>
      <c r="Q41" s="183"/>
      <c r="R41" s="49"/>
      <c r="V41" s="183"/>
      <c r="W41" s="49"/>
      <c r="AA41" s="183"/>
    </row>
    <row r="42" spans="1:27" s="48" customFormat="1" ht="13.5" thickBot="1" x14ac:dyDescent="0.25">
      <c r="A42" s="76" t="s">
        <v>314</v>
      </c>
      <c r="B42" s="76" t="s">
        <v>315</v>
      </c>
      <c r="C42" s="77">
        <v>15</v>
      </c>
      <c r="D42" s="78">
        <v>30</v>
      </c>
      <c r="E42" s="77">
        <v>60</v>
      </c>
      <c r="F42" s="76" t="s">
        <v>316</v>
      </c>
      <c r="G42" s="183"/>
      <c r="H42" s="77" t="s">
        <v>200</v>
      </c>
      <c r="I42" s="149" t="s">
        <v>200</v>
      </c>
      <c r="J42" s="149" t="s">
        <v>200</v>
      </c>
      <c r="K42" s="149" t="s">
        <v>200</v>
      </c>
      <c r="L42" s="183"/>
      <c r="M42" s="77" t="s">
        <v>200</v>
      </c>
      <c r="N42" s="77" t="s">
        <v>200</v>
      </c>
      <c r="O42" s="77" t="s">
        <v>200</v>
      </c>
      <c r="P42" s="77" t="s">
        <v>200</v>
      </c>
      <c r="Q42" s="183"/>
      <c r="R42" s="77" t="s">
        <v>125</v>
      </c>
      <c r="S42" s="149">
        <f>C42*'13. Pro-forma Costs'!$I$38</f>
        <v>4.6806167424242426</v>
      </c>
      <c r="T42" s="149">
        <f>D42*'13. Pro-forma Costs'!$I$38</f>
        <v>9.3612334848484853</v>
      </c>
      <c r="U42" s="149">
        <f>E42*'13. Pro-forma Costs'!$I$38</f>
        <v>18.722466969696971</v>
      </c>
      <c r="V42" s="183"/>
      <c r="W42" s="77" t="s">
        <v>200</v>
      </c>
      <c r="X42" s="149" t="s">
        <v>200</v>
      </c>
      <c r="Y42" s="149" t="s">
        <v>200</v>
      </c>
      <c r="Z42" s="149" t="s">
        <v>200</v>
      </c>
      <c r="AA42" s="183"/>
    </row>
    <row r="43" spans="1:27" s="73" customFormat="1" ht="13.5" thickTop="1" x14ac:dyDescent="0.2">
      <c r="A43" s="73" t="s">
        <v>305</v>
      </c>
      <c r="B43" s="65">
        <f>COUNTA(B42)</f>
        <v>1</v>
      </c>
      <c r="C43" s="65"/>
      <c r="D43" s="65"/>
      <c r="E43" s="65"/>
      <c r="G43" s="184"/>
      <c r="H43" s="65" t="s">
        <v>200</v>
      </c>
      <c r="I43" s="144" t="s">
        <v>200</v>
      </c>
      <c r="J43" s="144" t="s">
        <v>200</v>
      </c>
      <c r="K43" s="144" t="s">
        <v>200</v>
      </c>
      <c r="L43" s="184"/>
      <c r="M43" s="65" t="s">
        <v>200</v>
      </c>
      <c r="N43" s="65" t="s">
        <v>200</v>
      </c>
      <c r="O43" s="65" t="s">
        <v>200</v>
      </c>
      <c r="P43" s="65" t="s">
        <v>200</v>
      </c>
      <c r="Q43" s="184"/>
      <c r="R43" s="65"/>
      <c r="S43" s="144">
        <f>SUM(S42)</f>
        <v>4.6806167424242426</v>
      </c>
      <c r="T43" s="144">
        <f t="shared" ref="T43:U43" si="22">SUM(T42)</f>
        <v>9.3612334848484853</v>
      </c>
      <c r="U43" s="144">
        <f t="shared" si="22"/>
        <v>18.722466969696971</v>
      </c>
      <c r="V43" s="184"/>
      <c r="W43" s="65"/>
      <c r="X43" s="144" t="s">
        <v>200</v>
      </c>
      <c r="Y43" s="144" t="s">
        <v>200</v>
      </c>
      <c r="Z43" s="144" t="s">
        <v>200</v>
      </c>
      <c r="AA43" s="184"/>
    </row>
    <row r="44" spans="1:27" s="48" customFormat="1" x14ac:dyDescent="0.2">
      <c r="C44" s="49"/>
      <c r="D44" s="50"/>
      <c r="E44" s="49"/>
      <c r="G44" s="183"/>
      <c r="H44" s="49"/>
      <c r="I44" s="141"/>
      <c r="J44" s="141"/>
      <c r="K44" s="141"/>
      <c r="L44" s="183"/>
      <c r="M44" s="49"/>
      <c r="Q44" s="183"/>
      <c r="R44" s="49"/>
      <c r="V44" s="183"/>
      <c r="W44" s="49"/>
      <c r="AA44" s="183"/>
    </row>
    <row r="45" spans="1:27" x14ac:dyDescent="0.2">
      <c r="A45" s="71" t="s">
        <v>82</v>
      </c>
      <c r="B45" s="71" t="s">
        <v>81</v>
      </c>
      <c r="C45" s="68">
        <v>30</v>
      </c>
      <c r="D45" s="69">
        <v>45</v>
      </c>
      <c r="E45" s="68">
        <v>60</v>
      </c>
      <c r="F45" s="71" t="s">
        <v>63</v>
      </c>
      <c r="G45" s="183"/>
      <c r="H45" s="70" t="s">
        <v>125</v>
      </c>
      <c r="I45" s="115">
        <f>'13. Pro-forma Costs'!$I$38*C45</f>
        <v>9.3612334848484853</v>
      </c>
      <c r="J45" s="115">
        <f>'13. Pro-forma Costs'!$I$38*D45</f>
        <v>14.041850227272727</v>
      </c>
      <c r="K45" s="115">
        <f>'13. Pro-forma Costs'!$I$38*E45</f>
        <v>18.722466969696971</v>
      </c>
      <c r="M45" s="68" t="s">
        <v>125</v>
      </c>
      <c r="N45" s="140">
        <f>C45*'13. Pro-forma Costs'!$I$38</f>
        <v>9.3612334848484853</v>
      </c>
      <c r="O45" s="140">
        <f>D45*'13. Pro-forma Costs'!$I$38</f>
        <v>14.041850227272727</v>
      </c>
      <c r="P45" s="140">
        <f>E45*'13. Pro-forma Costs'!$I$38</f>
        <v>18.722466969696971</v>
      </c>
      <c r="R45" s="68" t="s">
        <v>125</v>
      </c>
      <c r="S45" s="140">
        <f>C45*'13. Pro-forma Costs'!$I$38</f>
        <v>9.3612334848484853</v>
      </c>
      <c r="T45" s="140">
        <f>D45*'13. Pro-forma Costs'!$I$38</f>
        <v>14.041850227272727</v>
      </c>
      <c r="U45" s="140">
        <f>E45*'13. Pro-forma Costs'!$I$38</f>
        <v>18.722466969696971</v>
      </c>
      <c r="W45" s="68" t="s">
        <v>131</v>
      </c>
      <c r="X45" s="140">
        <f>C45*'13. Pro-forma Costs'!$I$42</f>
        <v>7.4290000000000003</v>
      </c>
      <c r="Y45" s="140">
        <f>D45*'13. Pro-forma Costs'!$I$42</f>
        <v>11.143500000000001</v>
      </c>
      <c r="Z45" s="140">
        <f>E45*'13. Pro-forma Costs'!$I$42</f>
        <v>14.858000000000001</v>
      </c>
    </row>
    <row r="46" spans="1:27" ht="13.5" thickBot="1" x14ac:dyDescent="0.25">
      <c r="A46" s="72" t="s">
        <v>82</v>
      </c>
      <c r="B46" s="72" t="s">
        <v>303</v>
      </c>
      <c r="C46" s="62">
        <v>5</v>
      </c>
      <c r="D46" s="63">
        <v>10</v>
      </c>
      <c r="E46" s="62">
        <v>15</v>
      </c>
      <c r="F46" s="72" t="s">
        <v>63</v>
      </c>
      <c r="G46" s="183"/>
      <c r="H46" s="64" t="s">
        <v>125</v>
      </c>
      <c r="I46" s="118">
        <f>'13. Pro-forma Costs'!$I$38*C46</f>
        <v>1.5602055808080808</v>
      </c>
      <c r="J46" s="118">
        <f>'13. Pro-forma Costs'!$I$38*D46</f>
        <v>3.1204111616161616</v>
      </c>
      <c r="K46" s="118">
        <f>'13. Pro-forma Costs'!$I$38*E46</f>
        <v>4.6806167424242426</v>
      </c>
      <c r="M46" s="62" t="s">
        <v>125</v>
      </c>
      <c r="N46" s="142">
        <f>C46*'13. Pro-forma Costs'!$I$38</f>
        <v>1.5602055808080808</v>
      </c>
      <c r="O46" s="142">
        <f>D46*'13. Pro-forma Costs'!$I$38</f>
        <v>3.1204111616161616</v>
      </c>
      <c r="P46" s="142">
        <f>E46*'13. Pro-forma Costs'!$I$38</f>
        <v>4.6806167424242426</v>
      </c>
      <c r="R46" s="62" t="s">
        <v>125</v>
      </c>
      <c r="S46" s="142">
        <f>C46*'13. Pro-forma Costs'!$I$38</f>
        <v>1.5602055808080808</v>
      </c>
      <c r="T46" s="142">
        <f>D46*'13. Pro-forma Costs'!$I$38</f>
        <v>3.1204111616161616</v>
      </c>
      <c r="U46" s="142">
        <f>E46*'13. Pro-forma Costs'!$I$38</f>
        <v>4.6806167424242426</v>
      </c>
      <c r="W46" s="62" t="s">
        <v>131</v>
      </c>
      <c r="X46" s="142">
        <f>C46*'13. Pro-forma Costs'!$I$42</f>
        <v>1.2381666666666666</v>
      </c>
      <c r="Y46" s="142">
        <f>D46*'13. Pro-forma Costs'!$I$42</f>
        <v>2.4763333333333333</v>
      </c>
      <c r="Z46" s="142">
        <f>E46*'13. Pro-forma Costs'!$I$42</f>
        <v>3.7145000000000001</v>
      </c>
    </row>
    <row r="47" spans="1:27" s="74" customFormat="1" ht="13.5" thickTop="1" x14ac:dyDescent="0.2">
      <c r="A47" s="73" t="s">
        <v>305</v>
      </c>
      <c r="B47" s="65">
        <f>COUNTA(B45:B46)</f>
        <v>2</v>
      </c>
      <c r="C47" s="65"/>
      <c r="D47" s="65"/>
      <c r="E47" s="65"/>
      <c r="F47" s="73"/>
      <c r="G47" s="184"/>
      <c r="H47" s="79"/>
      <c r="I47" s="144">
        <f>SUM(I45:I46)</f>
        <v>10.921439065656566</v>
      </c>
      <c r="J47" s="144">
        <f t="shared" ref="J47:K47" si="23">SUM(J45:J46)</f>
        <v>17.16226138888889</v>
      </c>
      <c r="K47" s="144">
        <f t="shared" si="23"/>
        <v>23.403083712121212</v>
      </c>
      <c r="L47" s="187"/>
      <c r="M47" s="79"/>
      <c r="N47" s="144">
        <f>SUM(N45:N46)</f>
        <v>10.921439065656566</v>
      </c>
      <c r="O47" s="144">
        <f t="shared" ref="O47:P47" si="24">SUM(O45:O46)</f>
        <v>17.16226138888889</v>
      </c>
      <c r="P47" s="144">
        <f t="shared" si="24"/>
        <v>23.403083712121212</v>
      </c>
      <c r="Q47" s="187"/>
      <c r="R47" s="79"/>
      <c r="S47" s="144">
        <f>SUM(S45:S46)</f>
        <v>10.921439065656566</v>
      </c>
      <c r="T47" s="144">
        <f t="shared" ref="T47" si="25">SUM(T45:T46)</f>
        <v>17.16226138888889</v>
      </c>
      <c r="U47" s="144">
        <f t="shared" ref="U47" si="26">SUM(U45:U46)</f>
        <v>23.403083712121212</v>
      </c>
      <c r="V47" s="187"/>
      <c r="W47" s="79"/>
      <c r="X47" s="144">
        <f>SUM(X45:X46)</f>
        <v>8.6671666666666667</v>
      </c>
      <c r="Y47" s="144">
        <f t="shared" ref="Y47:Z47" si="27">SUM(Y45:Y46)</f>
        <v>13.619833333333334</v>
      </c>
      <c r="Z47" s="144">
        <f t="shared" si="27"/>
        <v>18.572500000000002</v>
      </c>
      <c r="AA47" s="187"/>
    </row>
    <row r="48" spans="1:27" x14ac:dyDescent="0.2">
      <c r="A48" s="48"/>
      <c r="B48" s="48"/>
      <c r="C48" s="49"/>
      <c r="D48" s="50"/>
      <c r="E48" s="49"/>
      <c r="F48" s="48"/>
      <c r="G48" s="183"/>
      <c r="I48" s="147"/>
      <c r="J48" s="147"/>
      <c r="K48" s="147"/>
      <c r="R48" s="60"/>
      <c r="W48" s="60"/>
    </row>
    <row r="49" spans="1:27" ht="13.5" thickBot="1" x14ac:dyDescent="0.25">
      <c r="A49" s="76" t="s">
        <v>157</v>
      </c>
      <c r="B49" s="76" t="s">
        <v>296</v>
      </c>
      <c r="C49" s="77">
        <v>60</v>
      </c>
      <c r="D49" s="77">
        <v>100</v>
      </c>
      <c r="E49" s="77">
        <v>140</v>
      </c>
      <c r="F49" s="76" t="s">
        <v>63</v>
      </c>
      <c r="G49" s="183"/>
      <c r="H49" s="77" t="s">
        <v>125</v>
      </c>
      <c r="I49" s="145">
        <f>'13. Pro-forma Costs'!$I$38*C49</f>
        <v>18.722466969696971</v>
      </c>
      <c r="J49" s="145">
        <f>'13. Pro-forma Costs'!$I$38*D49</f>
        <v>31.204111616161619</v>
      </c>
      <c r="K49" s="145">
        <f>'13. Pro-forma Costs'!$I$38*E49</f>
        <v>43.685756262626263</v>
      </c>
      <c r="M49" s="77" t="s">
        <v>125</v>
      </c>
      <c r="N49" s="149">
        <f>C49*'13. Pro-forma Costs'!$I$38</f>
        <v>18.722466969696971</v>
      </c>
      <c r="O49" s="149">
        <f>D49*'13. Pro-forma Costs'!$I$38</f>
        <v>31.204111616161619</v>
      </c>
      <c r="P49" s="149">
        <f>E49*'13. Pro-forma Costs'!$I$38</f>
        <v>43.685756262626263</v>
      </c>
      <c r="R49" s="77" t="s">
        <v>125</v>
      </c>
      <c r="S49" s="149">
        <f>C49*'13. Pro-forma Costs'!$I$38</f>
        <v>18.722466969696971</v>
      </c>
      <c r="T49" s="149">
        <f>D49*'13. Pro-forma Costs'!$I$38</f>
        <v>31.204111616161619</v>
      </c>
      <c r="U49" s="149">
        <f>E49*'13. Pro-forma Costs'!$I$38</f>
        <v>43.685756262626263</v>
      </c>
      <c r="W49" s="77" t="s">
        <v>125</v>
      </c>
      <c r="X49" s="149">
        <f>C49*'13. Pro-forma Costs'!$I$38</f>
        <v>18.722466969696971</v>
      </c>
      <c r="Y49" s="149">
        <f>D49*'13. Pro-forma Costs'!$I$38</f>
        <v>31.204111616161619</v>
      </c>
      <c r="Z49" s="149">
        <f>E49*'13. Pro-forma Costs'!$I$38</f>
        <v>43.685756262626263</v>
      </c>
    </row>
    <row r="50" spans="1:27" s="74" customFormat="1" ht="13.5" thickTop="1" x14ac:dyDescent="0.2">
      <c r="A50" s="73" t="s">
        <v>305</v>
      </c>
      <c r="B50" s="65">
        <f>COUNTA(B49)</f>
        <v>1</v>
      </c>
      <c r="C50" s="65"/>
      <c r="D50" s="65"/>
      <c r="E50" s="65"/>
      <c r="F50" s="73"/>
      <c r="G50" s="184"/>
      <c r="H50" s="79"/>
      <c r="I50" s="144">
        <f>SUM(I49)</f>
        <v>18.722466969696971</v>
      </c>
      <c r="J50" s="144">
        <f t="shared" ref="J50:K50" si="28">SUM(J49)</f>
        <v>31.204111616161619</v>
      </c>
      <c r="K50" s="144">
        <f t="shared" si="28"/>
        <v>43.685756262626263</v>
      </c>
      <c r="L50" s="187"/>
      <c r="M50" s="79"/>
      <c r="N50" s="144">
        <f>SUM(N49)</f>
        <v>18.722466969696971</v>
      </c>
      <c r="O50" s="144">
        <f t="shared" ref="O50:P50" si="29">SUM(O49)</f>
        <v>31.204111616161619</v>
      </c>
      <c r="P50" s="144">
        <f t="shared" si="29"/>
        <v>43.685756262626263</v>
      </c>
      <c r="Q50" s="187"/>
      <c r="R50" s="79"/>
      <c r="S50" s="144">
        <f>SUM(S49)</f>
        <v>18.722466969696971</v>
      </c>
      <c r="T50" s="144">
        <f t="shared" ref="T50" si="30">SUM(T49)</f>
        <v>31.204111616161619</v>
      </c>
      <c r="U50" s="144">
        <f t="shared" ref="U50" si="31">SUM(U49)</f>
        <v>43.685756262626263</v>
      </c>
      <c r="V50" s="187"/>
      <c r="W50" s="79"/>
      <c r="X50" s="144">
        <f>SUM(X49)</f>
        <v>18.722466969696971</v>
      </c>
      <c r="Y50" s="144">
        <f t="shared" ref="Y50:Z50" si="32">SUM(Y49)</f>
        <v>31.204111616161619</v>
      </c>
      <c r="Z50" s="144">
        <f t="shared" si="32"/>
        <v>43.685756262626263</v>
      </c>
      <c r="AA50" s="187"/>
    </row>
    <row r="51" spans="1:27" x14ac:dyDescent="0.2">
      <c r="A51" s="48"/>
      <c r="B51" s="48"/>
      <c r="C51" s="49"/>
      <c r="D51" s="49"/>
      <c r="E51" s="49"/>
      <c r="F51" s="48"/>
      <c r="G51" s="183"/>
      <c r="I51" s="147"/>
      <c r="J51" s="147"/>
      <c r="K51" s="147"/>
      <c r="R51" s="60"/>
      <c r="W51" s="60"/>
    </row>
    <row r="52" spans="1:27" s="48" customFormat="1" x14ac:dyDescent="0.2">
      <c r="A52" s="71" t="s">
        <v>163</v>
      </c>
      <c r="B52" s="71" t="s">
        <v>93</v>
      </c>
      <c r="C52" s="68">
        <v>30</v>
      </c>
      <c r="D52" s="69">
        <v>60</v>
      </c>
      <c r="E52" s="68">
        <v>90</v>
      </c>
      <c r="F52" s="71" t="s">
        <v>63</v>
      </c>
      <c r="G52" s="183"/>
      <c r="H52" s="70" t="s">
        <v>125</v>
      </c>
      <c r="I52" s="115">
        <f>'13. Pro-forma Costs'!$I$38*C52</f>
        <v>9.3612334848484853</v>
      </c>
      <c r="J52" s="115">
        <f>'13. Pro-forma Costs'!$I$38*D52</f>
        <v>18.722466969696971</v>
      </c>
      <c r="K52" s="115">
        <f>'13. Pro-forma Costs'!$I$38*E52</f>
        <v>28.083700454545454</v>
      </c>
      <c r="L52" s="183"/>
      <c r="M52" s="68" t="s">
        <v>125</v>
      </c>
      <c r="N52" s="140">
        <f>C52*'13. Pro-forma Costs'!$I$38</f>
        <v>9.3612334848484853</v>
      </c>
      <c r="O52" s="140">
        <f>D52*'13. Pro-forma Costs'!$I$38</f>
        <v>18.722466969696971</v>
      </c>
      <c r="P52" s="140">
        <f>E52*'13. Pro-forma Costs'!$I$38</f>
        <v>28.083700454545454</v>
      </c>
      <c r="Q52" s="183"/>
      <c r="R52" s="68" t="s">
        <v>125</v>
      </c>
      <c r="S52" s="140">
        <f>C52*'13. Pro-forma Costs'!$I$38</f>
        <v>9.3612334848484853</v>
      </c>
      <c r="T52" s="140">
        <f>D52*'13. Pro-forma Costs'!$I$38</f>
        <v>18.722466969696971</v>
      </c>
      <c r="U52" s="140">
        <f>E52*'13. Pro-forma Costs'!$I$38</f>
        <v>28.083700454545454</v>
      </c>
      <c r="V52" s="183"/>
      <c r="W52" s="68" t="s">
        <v>131</v>
      </c>
      <c r="X52" s="140">
        <f>C52*'13. Pro-forma Costs'!$I$42</f>
        <v>7.4290000000000003</v>
      </c>
      <c r="Y52" s="140">
        <f>D52*'13. Pro-forma Costs'!$I$42</f>
        <v>14.858000000000001</v>
      </c>
      <c r="Z52" s="140">
        <f>E52*'13. Pro-forma Costs'!$I$42</f>
        <v>22.287000000000003</v>
      </c>
      <c r="AA52" s="183"/>
    </row>
    <row r="53" spans="1:27" s="48" customFormat="1" x14ac:dyDescent="0.2">
      <c r="A53" s="48" t="s">
        <v>163</v>
      </c>
      <c r="B53" s="48" t="s">
        <v>304</v>
      </c>
      <c r="C53" s="49">
        <v>15</v>
      </c>
      <c r="D53" s="50">
        <v>30</v>
      </c>
      <c r="E53" s="49">
        <v>60</v>
      </c>
      <c r="F53" s="48" t="s">
        <v>63</v>
      </c>
      <c r="G53" s="183"/>
      <c r="H53" s="58" t="s">
        <v>131</v>
      </c>
      <c r="I53" s="112">
        <f>'13. Pro-forma Costs'!$I$38*C53</f>
        <v>4.6806167424242426</v>
      </c>
      <c r="J53" s="112">
        <f>'13. Pro-forma Costs'!$I$38*D53</f>
        <v>9.3612334848484853</v>
      </c>
      <c r="K53" s="112">
        <f>'13. Pro-forma Costs'!$I$38*E53</f>
        <v>18.722466969696971</v>
      </c>
      <c r="L53" s="183"/>
      <c r="M53" s="49" t="s">
        <v>125</v>
      </c>
      <c r="N53" s="141">
        <f>C53*'13. Pro-forma Costs'!$I$38</f>
        <v>4.6806167424242426</v>
      </c>
      <c r="O53" s="141">
        <f>D53*'13. Pro-forma Costs'!$I$38</f>
        <v>9.3612334848484853</v>
      </c>
      <c r="P53" s="141">
        <f>E53*'13. Pro-forma Costs'!$I$38</f>
        <v>18.722466969696971</v>
      </c>
      <c r="Q53" s="183"/>
      <c r="R53" s="49" t="s">
        <v>125</v>
      </c>
      <c r="S53" s="141">
        <f>C53*'13. Pro-forma Costs'!$I$38</f>
        <v>4.6806167424242426</v>
      </c>
      <c r="T53" s="141">
        <f>D53*'13. Pro-forma Costs'!$I$38</f>
        <v>9.3612334848484853</v>
      </c>
      <c r="U53" s="141">
        <f>E53*'13. Pro-forma Costs'!$I$38</f>
        <v>18.722466969696971</v>
      </c>
      <c r="V53" s="183"/>
      <c r="W53" s="49" t="s">
        <v>131</v>
      </c>
      <c r="X53" s="141">
        <f>C53*'13. Pro-forma Costs'!$I$42</f>
        <v>3.7145000000000001</v>
      </c>
      <c r="Y53" s="141">
        <f>D53*'13. Pro-forma Costs'!$I$42</f>
        <v>7.4290000000000003</v>
      </c>
      <c r="Z53" s="141">
        <f>E53*'13. Pro-forma Costs'!$I$42</f>
        <v>14.858000000000001</v>
      </c>
      <c r="AA53" s="183"/>
    </row>
    <row r="54" spans="1:27" s="48" customFormat="1" x14ac:dyDescent="0.2">
      <c r="A54" s="48" t="s">
        <v>163</v>
      </c>
      <c r="B54" s="48" t="s">
        <v>162</v>
      </c>
      <c r="C54" s="49">
        <v>15</v>
      </c>
      <c r="D54" s="50">
        <v>30</v>
      </c>
      <c r="E54" s="49">
        <v>45</v>
      </c>
      <c r="F54" s="48" t="s">
        <v>63</v>
      </c>
      <c r="G54" s="183"/>
      <c r="H54" s="58" t="s">
        <v>125</v>
      </c>
      <c r="I54" s="112">
        <f>'13. Pro-forma Costs'!$I$38*C54</f>
        <v>4.6806167424242426</v>
      </c>
      <c r="J54" s="112">
        <f>'13. Pro-forma Costs'!$I$38*D54</f>
        <v>9.3612334848484853</v>
      </c>
      <c r="K54" s="112">
        <f>'13. Pro-forma Costs'!$I$38*E54</f>
        <v>14.041850227272727</v>
      </c>
      <c r="L54" s="183"/>
      <c r="M54" s="49" t="s">
        <v>125</v>
      </c>
      <c r="N54" s="141">
        <f>C54*'13. Pro-forma Costs'!$I$38</f>
        <v>4.6806167424242426</v>
      </c>
      <c r="O54" s="141">
        <f>D54*'13. Pro-forma Costs'!$I$38</f>
        <v>9.3612334848484853</v>
      </c>
      <c r="P54" s="141">
        <f>E54*'13. Pro-forma Costs'!$I$38</f>
        <v>14.041850227272727</v>
      </c>
      <c r="Q54" s="183"/>
      <c r="R54" s="49" t="s">
        <v>125</v>
      </c>
      <c r="S54" s="141">
        <f>C54*'13. Pro-forma Costs'!$I$38</f>
        <v>4.6806167424242426</v>
      </c>
      <c r="T54" s="141">
        <f>D54*'13. Pro-forma Costs'!$I$38</f>
        <v>9.3612334848484853</v>
      </c>
      <c r="U54" s="141">
        <f>E54*'13. Pro-forma Costs'!$I$38</f>
        <v>14.041850227272727</v>
      </c>
      <c r="V54" s="183"/>
      <c r="W54" s="49" t="s">
        <v>131</v>
      </c>
      <c r="X54" s="141">
        <f>C54*'13. Pro-forma Costs'!$I$42</f>
        <v>3.7145000000000001</v>
      </c>
      <c r="Y54" s="141">
        <f>D54*'13. Pro-forma Costs'!$I$42</f>
        <v>7.4290000000000003</v>
      </c>
      <c r="Z54" s="141">
        <f>E54*'13. Pro-forma Costs'!$I$42</f>
        <v>11.143500000000001</v>
      </c>
      <c r="AA54" s="183"/>
    </row>
    <row r="55" spans="1:27" s="48" customFormat="1" x14ac:dyDescent="0.2">
      <c r="A55" s="48" t="s">
        <v>163</v>
      </c>
      <c r="B55" s="51" t="s">
        <v>83</v>
      </c>
      <c r="C55" s="49">
        <v>5</v>
      </c>
      <c r="D55" s="50">
        <v>10</v>
      </c>
      <c r="E55" s="49">
        <v>15</v>
      </c>
      <c r="F55" s="48" t="s">
        <v>63</v>
      </c>
      <c r="G55" s="183"/>
      <c r="H55" s="58" t="s">
        <v>125</v>
      </c>
      <c r="I55" s="112">
        <f>'13. Pro-forma Costs'!$I$38*C55</f>
        <v>1.5602055808080808</v>
      </c>
      <c r="J55" s="112">
        <f>'13. Pro-forma Costs'!$I$38*D55</f>
        <v>3.1204111616161616</v>
      </c>
      <c r="K55" s="112">
        <f>'13. Pro-forma Costs'!$I$38*E55</f>
        <v>4.6806167424242426</v>
      </c>
      <c r="L55" s="183"/>
      <c r="M55" s="49" t="s">
        <v>125</v>
      </c>
      <c r="N55" s="141">
        <f>C55*'13. Pro-forma Costs'!$I$38</f>
        <v>1.5602055808080808</v>
      </c>
      <c r="O55" s="141">
        <f>D55*'13. Pro-forma Costs'!$I$38</f>
        <v>3.1204111616161616</v>
      </c>
      <c r="P55" s="141">
        <f>E55*'13. Pro-forma Costs'!$I$38</f>
        <v>4.6806167424242426</v>
      </c>
      <c r="Q55" s="183"/>
      <c r="R55" s="49" t="s">
        <v>125</v>
      </c>
      <c r="S55" s="141">
        <f>C55*'13. Pro-forma Costs'!$I$38</f>
        <v>1.5602055808080808</v>
      </c>
      <c r="T55" s="141">
        <f>D55*'13. Pro-forma Costs'!$I$38</f>
        <v>3.1204111616161616</v>
      </c>
      <c r="U55" s="141">
        <f>E55*'13. Pro-forma Costs'!$I$38</f>
        <v>4.6806167424242426</v>
      </c>
      <c r="V55" s="183"/>
      <c r="W55" s="49" t="s">
        <v>131</v>
      </c>
      <c r="X55" s="141">
        <f>C55*'13. Pro-forma Costs'!$I$42</f>
        <v>1.2381666666666666</v>
      </c>
      <c r="Y55" s="141">
        <f>D55*'13. Pro-forma Costs'!$I$42</f>
        <v>2.4763333333333333</v>
      </c>
      <c r="Z55" s="141">
        <f>E55*'13. Pro-forma Costs'!$I$42</f>
        <v>3.7145000000000001</v>
      </c>
      <c r="AA55" s="183"/>
    </row>
    <row r="56" spans="1:27" s="48" customFormat="1" ht="13.5" thickBot="1" x14ac:dyDescent="0.25">
      <c r="A56" s="72" t="s">
        <v>163</v>
      </c>
      <c r="B56" s="72" t="s">
        <v>148</v>
      </c>
      <c r="C56" s="62">
        <v>10</v>
      </c>
      <c r="D56" s="62">
        <v>15</v>
      </c>
      <c r="E56" s="62">
        <v>20</v>
      </c>
      <c r="F56" s="72" t="s">
        <v>63</v>
      </c>
      <c r="G56" s="183"/>
      <c r="H56" s="64" t="s">
        <v>125</v>
      </c>
      <c r="I56" s="118">
        <f>'13. Pro-forma Costs'!$I$38*C56</f>
        <v>3.1204111616161616</v>
      </c>
      <c r="J56" s="118">
        <f>'13. Pro-forma Costs'!$I$38*D56</f>
        <v>4.6806167424242426</v>
      </c>
      <c r="K56" s="118">
        <f>'13. Pro-forma Costs'!$I$38*E56</f>
        <v>6.2408223232323232</v>
      </c>
      <c r="L56" s="183"/>
      <c r="M56" s="62" t="s">
        <v>125</v>
      </c>
      <c r="N56" s="142">
        <f>C56*'13. Pro-forma Costs'!$I$38</f>
        <v>3.1204111616161616</v>
      </c>
      <c r="O56" s="142">
        <f>D56*'13. Pro-forma Costs'!$I$38</f>
        <v>4.6806167424242426</v>
      </c>
      <c r="P56" s="142">
        <f>E56*'13. Pro-forma Costs'!$I$38</f>
        <v>6.2408223232323232</v>
      </c>
      <c r="Q56" s="183"/>
      <c r="R56" s="62" t="s">
        <v>125</v>
      </c>
      <c r="S56" s="142">
        <f>C56*'13. Pro-forma Costs'!$I$38</f>
        <v>3.1204111616161616</v>
      </c>
      <c r="T56" s="142">
        <f>D56*'13. Pro-forma Costs'!$I$38</f>
        <v>4.6806167424242426</v>
      </c>
      <c r="U56" s="142">
        <f>E56*'13. Pro-forma Costs'!$I$38</f>
        <v>6.2408223232323232</v>
      </c>
      <c r="V56" s="183"/>
      <c r="W56" s="62" t="s">
        <v>131</v>
      </c>
      <c r="X56" s="142">
        <f>C56*'13. Pro-forma Costs'!$I$42</f>
        <v>2.4763333333333333</v>
      </c>
      <c r="Y56" s="142">
        <f>D56*'13. Pro-forma Costs'!$I$42</f>
        <v>3.7145000000000001</v>
      </c>
      <c r="Z56" s="142">
        <f>E56*'13. Pro-forma Costs'!$I$42</f>
        <v>4.9526666666666666</v>
      </c>
      <c r="AA56" s="183"/>
    </row>
    <row r="57" spans="1:27" s="73" customFormat="1" ht="13.5" thickTop="1" x14ac:dyDescent="0.2">
      <c r="A57" s="73" t="s">
        <v>305</v>
      </c>
      <c r="B57" s="65">
        <f>COUNTA(B52:B56)</f>
        <v>5</v>
      </c>
      <c r="C57" s="65"/>
      <c r="D57" s="65"/>
      <c r="E57" s="65"/>
      <c r="G57" s="184"/>
      <c r="H57" s="65"/>
      <c r="I57" s="144">
        <f>SUM(I52:I56)</f>
        <v>23.403083712121212</v>
      </c>
      <c r="J57" s="144">
        <f t="shared" ref="J57:K57" si="33">SUM(J52:J56)</f>
        <v>45.245961843434344</v>
      </c>
      <c r="K57" s="144">
        <f t="shared" si="33"/>
        <v>71.769456717171721</v>
      </c>
      <c r="L57" s="184"/>
      <c r="M57" s="65"/>
      <c r="N57" s="144">
        <f>SUM(N52:N56)</f>
        <v>23.403083712121212</v>
      </c>
      <c r="O57" s="144">
        <f t="shared" ref="O57:P57" si="34">SUM(O52:O56)</f>
        <v>45.245961843434344</v>
      </c>
      <c r="P57" s="144">
        <f t="shared" si="34"/>
        <v>71.769456717171721</v>
      </c>
      <c r="Q57" s="184"/>
      <c r="R57" s="65"/>
      <c r="S57" s="144">
        <f>SUM(S52:S56)</f>
        <v>23.403083712121212</v>
      </c>
      <c r="T57" s="144">
        <f t="shared" ref="T57" si="35">SUM(T52:T56)</f>
        <v>45.245961843434344</v>
      </c>
      <c r="U57" s="144">
        <f t="shared" ref="U57" si="36">SUM(U52:U56)</f>
        <v>71.769456717171721</v>
      </c>
      <c r="V57" s="184"/>
      <c r="W57" s="65"/>
      <c r="X57" s="144">
        <f>SUM(X52:X56)</f>
        <v>18.572500000000002</v>
      </c>
      <c r="Y57" s="144">
        <f t="shared" ref="Y57:Z57" si="37">SUM(Y52:Y56)</f>
        <v>35.906833333333338</v>
      </c>
      <c r="Z57" s="144">
        <f t="shared" si="37"/>
        <v>56.955666666666673</v>
      </c>
      <c r="AA57" s="184"/>
    </row>
    <row r="58" spans="1:27" x14ac:dyDescent="0.2">
      <c r="A58" s="202"/>
    </row>
  </sheetData>
  <mergeCells count="10">
    <mergeCell ref="W1:Z1"/>
    <mergeCell ref="X2:Z2"/>
    <mergeCell ref="A1:F1"/>
    <mergeCell ref="R1:U1"/>
    <mergeCell ref="S2:U2"/>
    <mergeCell ref="C2:E2"/>
    <mergeCell ref="I2:K2"/>
    <mergeCell ref="H1:K1"/>
    <mergeCell ref="M1:P1"/>
    <mergeCell ref="N2:P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0. Instructions</vt:lpstr>
      <vt:lpstr>1. Scenario overview</vt:lpstr>
      <vt:lpstr>2. As-Is Analysis (cost)</vt:lpstr>
      <vt:lpstr>3. As-Is Analysis (time)</vt:lpstr>
      <vt:lpstr>4. As-Is Analysis (activities)</vt:lpstr>
      <vt:lpstr>5. To-Be Analysis (cost)</vt:lpstr>
      <vt:lpstr>6. To-Be Analysis (time)</vt:lpstr>
      <vt:lpstr>7. To-Be Analysis (activities)</vt:lpstr>
      <vt:lpstr>8. To-Be Activity Costing</vt:lpstr>
      <vt:lpstr>9. UNICEF (as-is)</vt:lpstr>
      <vt:lpstr>10. FAO (as-is)</vt:lpstr>
      <vt:lpstr>11. WFP (as-is)</vt:lpstr>
      <vt:lpstr>12. UNDP (as-is)</vt:lpstr>
      <vt:lpstr>13. Pro-forma Costs</vt:lpstr>
      <vt:lpstr>14. Committees</vt:lpstr>
      <vt:lpstr>'8. To-Be Activity Costing'!Print_Area</vt:lpstr>
      <vt:lpstr>'9. UNICEF (as-is)'!Print_Area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Musatti</dc:creator>
  <cp:lastModifiedBy>Dirk Schumacher</cp:lastModifiedBy>
  <cp:lastPrinted>2012-03-09T13:02:18Z</cp:lastPrinted>
  <dcterms:created xsi:type="dcterms:W3CDTF">2009-07-06T07:47:04Z</dcterms:created>
  <dcterms:modified xsi:type="dcterms:W3CDTF">2012-03-13T10:40:31Z</dcterms:modified>
</cp:coreProperties>
</file>